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ældreområdet" sheetId="1" r:id="rId1"/>
    <sheet name="specialområdet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<sst xmlns="http://schemas.openxmlformats.org/spreadsheetml/2006/main" count="436" uniqueCount="149">
  <si>
    <t xml:space="preserve"> - hovedret</t>
  </si>
  <si>
    <t xml:space="preserve"> - forret el. dessert</t>
  </si>
  <si>
    <t>Rengøringsartikler og toiletpapir</t>
  </si>
  <si>
    <t>Toiletartikler</t>
  </si>
  <si>
    <t>Gl. Varde</t>
  </si>
  <si>
    <t>Helle</t>
  </si>
  <si>
    <t>Blåbjerg</t>
  </si>
  <si>
    <t>Ølgod</t>
  </si>
  <si>
    <t>A. Forplejning</t>
  </si>
  <si>
    <t>B. Øvrige ydelser</t>
  </si>
  <si>
    <t>Daghjem</t>
  </si>
  <si>
    <t xml:space="preserve"> </t>
  </si>
  <si>
    <t xml:space="preserve"> - vask og rengøring</t>
  </si>
  <si>
    <t xml:space="preserve"> - forplejning</t>
  </si>
  <si>
    <t xml:space="preserve"> - formiddagskaffe</t>
  </si>
  <si>
    <t xml:space="preserve"> - eftermiddagskaffe</t>
  </si>
  <si>
    <t>Hele pakken</t>
  </si>
  <si>
    <t>II. Betaling ved ophold på centre</t>
  </si>
  <si>
    <t xml:space="preserve"> - pr. dag</t>
  </si>
  <si>
    <t>Blå-</t>
  </si>
  <si>
    <t>vandshuk</t>
  </si>
  <si>
    <t>Forplejning:</t>
  </si>
  <si>
    <t>Reng.artikler, toiletartikler og - papir</t>
  </si>
  <si>
    <t>Vinduespolering (ude og inde)</t>
  </si>
  <si>
    <t>Takst</t>
  </si>
  <si>
    <t>Forslag 1</t>
  </si>
  <si>
    <t xml:space="preserve">  </t>
  </si>
  <si>
    <t>Forslag 3</t>
  </si>
  <si>
    <t>Forslag 1:</t>
  </si>
  <si>
    <t>Prisfremskrivning med 4,7 procent.</t>
  </si>
  <si>
    <t>Hovedret</t>
  </si>
  <si>
    <t>Forret eller dessert</t>
  </si>
  <si>
    <t xml:space="preserve">Takst </t>
  </si>
  <si>
    <t xml:space="preserve"> - pr. mdr. med 31 dage</t>
  </si>
  <si>
    <t>Fremskrevet 1,9%</t>
  </si>
  <si>
    <t>Fremskrevet 2,2%</t>
  </si>
  <si>
    <t>Takster - Ældreområdet</t>
  </si>
  <si>
    <t>Satsreguleringsprct.</t>
  </si>
  <si>
    <t>Note 2</t>
  </si>
  <si>
    <t>Note 3</t>
  </si>
  <si>
    <t>Pr. måned</t>
  </si>
  <si>
    <t>Fremskrevet 2,9%</t>
  </si>
  <si>
    <t>Note 1</t>
  </si>
  <si>
    <t>Taksten omfatter vask af tøj, sengelinned mv.</t>
  </si>
  <si>
    <t>Taksten opkræves på plejecentre, hvor vaskemaskiner er opstillet i servicearealer og hvor der ikke</t>
  </si>
  <si>
    <t>opkræves betaling med vaskekort. Taskten opkræves hos beboere på følgende plejecentre:</t>
  </si>
  <si>
    <t xml:space="preserve">Note 1: </t>
  </si>
  <si>
    <t>Note 2:</t>
  </si>
  <si>
    <t>Skovhøj</t>
  </si>
  <si>
    <t>Møllegården</t>
  </si>
  <si>
    <t>19 kr. pr måned</t>
  </si>
  <si>
    <t>Lyngparken</t>
  </si>
  <si>
    <t>13 kr. pr. måned</t>
  </si>
  <si>
    <t>Vinkelvej, Ølgod</t>
  </si>
  <si>
    <t>16 kr. pr. måned</t>
  </si>
  <si>
    <t>Aktivitetscenter</t>
  </si>
  <si>
    <t>14 kr. pr. måned</t>
  </si>
  <si>
    <t>Helle Plejecenter</t>
  </si>
  <si>
    <t>Note 5</t>
  </si>
  <si>
    <t>Note 4:</t>
  </si>
  <si>
    <t>Vask af tøj, sengelinned mv.:</t>
  </si>
  <si>
    <t>Note 3:</t>
  </si>
  <si>
    <t>15 kr. pr. måned</t>
  </si>
  <si>
    <t xml:space="preserve">Der er uvished om, i hvilken grad udgifterne til vinduespolering i fællesarealer ligger på </t>
  </si>
  <si>
    <t>2 indvendige poleringer.</t>
  </si>
  <si>
    <t xml:space="preserve"> - pr. mdr. med 30 dage</t>
  </si>
  <si>
    <t xml:space="preserve"> - Vaskeri i boligareal</t>
  </si>
  <si>
    <t xml:space="preserve"> - Vaskeri i serviceareal</t>
  </si>
  <si>
    <t>Note 5:</t>
  </si>
  <si>
    <t>Note 6:</t>
  </si>
  <si>
    <t>Der er regnet med 9 vaske pr. mdr. Udgiften dækker vaskemidler. Taksten opkræves, hvor vaskemaskiner</t>
  </si>
  <si>
    <t>er opstillet i fællesboligarealer. Taksten opkræves på følgende plejecentre:</t>
  </si>
  <si>
    <t>Vinkelvejscentret, Ansager Områdecenter, Aktivitetscentret i Ølgod, Skovhøj, Møllegården, Poghøj og</t>
  </si>
  <si>
    <t>Blåbjerg Pleje- og Aktivitetscenter.</t>
  </si>
  <si>
    <t>TAKST        2013</t>
  </si>
  <si>
    <t>Tistruplund, Sognelunden, Hybenbo, Solhøj og Helle Plejecenter.</t>
  </si>
  <si>
    <t>Følgende danner grundlag for beregingen</t>
  </si>
  <si>
    <t>Takster Brugernes betaling på specialområdet</t>
  </si>
  <si>
    <t>takster 2010</t>
  </si>
  <si>
    <t>Takster 2011</t>
  </si>
  <si>
    <t>Takster 2012</t>
  </si>
  <si>
    <t>Bemærkninger</t>
  </si>
  <si>
    <t>Time</t>
  </si>
  <si>
    <t>Døgn</t>
  </si>
  <si>
    <t>Mdr.</t>
  </si>
  <si>
    <t>År</t>
  </si>
  <si>
    <t>I § 110-boformer</t>
  </si>
  <si>
    <t>Takstfremskrivning</t>
  </si>
  <si>
    <t>Logi</t>
  </si>
  <si>
    <t xml:space="preserve">   - inkl. forsyning og vask af linned</t>
  </si>
  <si>
    <t>Kost</t>
  </si>
  <si>
    <t>Morgenmåltid</t>
  </si>
  <si>
    <t>Frokost</t>
  </si>
  <si>
    <t>Middag</t>
  </si>
  <si>
    <t>Fuldkost i alt</t>
  </si>
  <si>
    <t>I§108 -Boformer</t>
  </si>
  <si>
    <t>Mad - inkl. tilberedning (note 1)</t>
  </si>
  <si>
    <t>Kostpris</t>
  </si>
  <si>
    <t>Vask og rengøringsartikler</t>
  </si>
  <si>
    <t>Transportudgifter:</t>
  </si>
  <si>
    <t xml:space="preserve"> - Bo- og genoptræning, Lunden</t>
  </si>
  <si>
    <t xml:space="preserve"> - Bo-Østervang</t>
  </si>
  <si>
    <t>Rengøringshjælp</t>
  </si>
  <si>
    <t>Indboforsikring</t>
  </si>
  <si>
    <t>I botilbud efter § 107</t>
  </si>
  <si>
    <t>Note 1: De beboere, der deltager i tilberedningen af maden, betaler alene kostprisen.</t>
  </si>
  <si>
    <t>Note 2: Taksterne er fremskrevet med satsreguleringsprct. I lighed med takststiningen på loft over max. Betalingen for madservice på plejecenter og ældreboliger.</t>
  </si>
  <si>
    <t>Takster 2013</t>
  </si>
  <si>
    <t>Der er regnet med 9 vaske pr. mdr. Udgiften pr. vask er ca. 26 kr.</t>
  </si>
  <si>
    <t>Beløbet er incl. 11 kr. pr. måned til opvasketabs og andre udgifter der vedrører rengøringsartikler</t>
  </si>
  <si>
    <t>servicearealer, hvorfor der foreslåes betaling på 25 kr. pr. måned for vinduespudsning.</t>
  </si>
  <si>
    <t>Takster 2014</t>
  </si>
  <si>
    <t xml:space="preserve">Takst fremskrivning </t>
  </si>
  <si>
    <t>Måned</t>
  </si>
  <si>
    <t>Forhøjet 2012 - 2013udover fremskrivning ved sammenligning med andre 110 institutioner</t>
  </si>
  <si>
    <t>Fremskrevet Satsregulering</t>
  </si>
  <si>
    <t>Priserne er beregnet på grundlag af forventet forbrug beregnet på grundlag af 4 udvendige og</t>
  </si>
  <si>
    <t>incl.  træningsophold, aflastnings-, akut- og døgnrehabilliteringspladser</t>
  </si>
  <si>
    <t>Midlertidige Pladser</t>
  </si>
  <si>
    <t>Note 4 tillæg 4 kr. udover fremskrivning</t>
  </si>
  <si>
    <t>Takster 2015</t>
  </si>
  <si>
    <t xml:space="preserve">Døgn </t>
  </si>
  <si>
    <t xml:space="preserve">Måned </t>
  </si>
  <si>
    <t>Slettes bruger betaler selv</t>
  </si>
  <si>
    <t>dok,nr, 135673-14</t>
  </si>
  <si>
    <t>Dok.nr. 135673-14</t>
  </si>
  <si>
    <t xml:space="preserve">Forhøjet til maks. Betaling </t>
  </si>
  <si>
    <t>Svarer til 40 kr. til forplejning  (morgenmad og aftensmad) og 11 kr. til vask og rengøring.</t>
  </si>
  <si>
    <t xml:space="preserve"> Midlertidigt ophold: </t>
  </si>
  <si>
    <t xml:space="preserve">  Længerevarende ophold: </t>
  </si>
  <si>
    <t xml:space="preserve">  Midlert. ophold t. pers. m. særlige problemer: </t>
  </si>
  <si>
    <t>Forhøjet til maks.betaling</t>
  </si>
  <si>
    <t>Mad - inkl. tilberedning (note 2)</t>
  </si>
  <si>
    <t>Takst fremskrivning 1,79%</t>
  </si>
  <si>
    <t>Morgenmad, inkl. kaffe  pr . Dag</t>
  </si>
  <si>
    <t>Middagsmad pr.dag</t>
  </si>
  <si>
    <t xml:space="preserve"> - hovedret  pr. dag</t>
  </si>
  <si>
    <t xml:space="preserve"> - forret el. dessert pr. dag</t>
  </si>
  <si>
    <t>Eftermiddagskaffe med brød pr. dag</t>
  </si>
  <si>
    <t>Aftensmad pr dag</t>
  </si>
  <si>
    <t>Aftenkaffe m. brød pr. dag</t>
  </si>
  <si>
    <t>pr. måned</t>
  </si>
  <si>
    <t xml:space="preserve"> pr. dag</t>
  </si>
  <si>
    <t>pr.dag</t>
  </si>
  <si>
    <t>pr. dag</t>
  </si>
  <si>
    <t xml:space="preserve">I. Madservice </t>
  </si>
  <si>
    <t>Nathjem er ophørt fra 01.01.2015, hvorfor taksten er nulstillet</t>
  </si>
  <si>
    <t>01.01.2015.</t>
  </si>
  <si>
    <t>Der er fastsat et loft på 3.425 kr. for den månedlige betaling iflg vejlening om reguleringer af satser pr,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</si>
</sst>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_(* #,##0.0_);_(* \(#,##0.0\);_(* &quot;-&quot;??_);_(@_)"/>
    <numFmt numFmtId="179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4" borderId="3" applyNumberFormat="0" applyAlignment="0" applyProtection="0"/>
    <xf numFmtId="0" fontId="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77" fontId="1" fillId="0" borderId="18" xfId="40" applyFont="1" applyBorder="1" applyAlignment="1">
      <alignment/>
    </xf>
    <xf numFmtId="179" fontId="1" fillId="0" borderId="18" xfId="40" applyNumberFormat="1" applyFont="1" applyBorder="1" applyAlignment="1">
      <alignment/>
    </xf>
    <xf numFmtId="179" fontId="1" fillId="0" borderId="16" xfId="40" applyNumberFormat="1" applyFont="1" applyBorder="1" applyAlignment="1">
      <alignment/>
    </xf>
    <xf numFmtId="179" fontId="1" fillId="0" borderId="17" xfId="40" applyNumberFormat="1" applyFont="1" applyBorder="1" applyAlignment="1">
      <alignment/>
    </xf>
    <xf numFmtId="179" fontId="0" fillId="0" borderId="18" xfId="4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16" xfId="40" applyFont="1" applyFill="1" applyBorder="1" applyAlignment="1">
      <alignment/>
    </xf>
    <xf numFmtId="179" fontId="1" fillId="0" borderId="18" xfId="40" applyNumberFormat="1" applyFont="1" applyFill="1" applyBorder="1" applyAlignment="1">
      <alignment/>
    </xf>
    <xf numFmtId="179" fontId="1" fillId="0" borderId="17" xfId="40" applyNumberFormat="1" applyFont="1" applyFill="1" applyBorder="1" applyAlignment="1">
      <alignment/>
    </xf>
    <xf numFmtId="179" fontId="1" fillId="0" borderId="16" xfId="40" applyNumberFormat="1" applyFont="1" applyFill="1" applyBorder="1" applyAlignment="1">
      <alignment/>
    </xf>
    <xf numFmtId="179" fontId="0" fillId="0" borderId="18" xfId="4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7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0" fontId="0" fillId="0" borderId="24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9" fontId="7" fillId="0" borderId="11" xfId="4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3" fontId="7" fillId="0" borderId="11" xfId="40" applyNumberFormat="1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" fontId="7" fillId="0" borderId="24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179" fontId="7" fillId="0" borderId="34" xfId="4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79" fontId="7" fillId="0" borderId="0" xfId="4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79" fontId="7" fillId="0" borderId="30" xfId="4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3" fontId="7" fillId="0" borderId="30" xfId="4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" fontId="7" fillId="0" borderId="26" xfId="0" applyNumberFormat="1" applyFont="1" applyBorder="1" applyAlignment="1">
      <alignment horizontal="center"/>
    </xf>
    <xf numFmtId="3" fontId="7" fillId="0" borderId="34" xfId="4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36" xfId="0" applyFont="1" applyBorder="1" applyAlignment="1">
      <alignment/>
    </xf>
    <xf numFmtId="179" fontId="7" fillId="0" borderId="30" xfId="4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179" fontId="7" fillId="0" borderId="11" xfId="40" applyNumberFormat="1" applyFont="1" applyFill="1" applyBorder="1" applyAlignment="1">
      <alignment horizontal="center"/>
    </xf>
    <xf numFmtId="0" fontId="2" fillId="0" borderId="38" xfId="0" applyFont="1" applyBorder="1" applyAlignment="1">
      <alignment/>
    </xf>
    <xf numFmtId="179" fontId="7" fillId="0" borderId="34" xfId="4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" fontId="7" fillId="0" borderId="39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1" fontId="0" fillId="0" borderId="0" xfId="0" applyNumberFormat="1" applyAlignment="1">
      <alignment/>
    </xf>
    <xf numFmtId="0" fontId="0" fillId="33" borderId="28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10" fontId="0" fillId="33" borderId="43" xfId="0" applyNumberFormat="1" applyFill="1" applyBorder="1" applyAlignment="1">
      <alignment/>
    </xf>
    <xf numFmtId="3" fontId="0" fillId="33" borderId="44" xfId="0" applyNumberFormat="1" applyFill="1" applyBorder="1" applyAlignment="1">
      <alignment/>
    </xf>
    <xf numFmtId="0" fontId="0" fillId="33" borderId="27" xfId="0" applyFill="1" applyBorder="1" applyAlignment="1">
      <alignment/>
    </xf>
    <xf numFmtId="3" fontId="0" fillId="33" borderId="45" xfId="0" applyNumberFormat="1" applyFill="1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0" fontId="0" fillId="33" borderId="25" xfId="0" applyFill="1" applyBorder="1" applyAlignment="1">
      <alignment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0" fontId="0" fillId="34" borderId="41" xfId="0" applyNumberFormat="1" applyFont="1" applyFill="1" applyBorder="1" applyAlignment="1">
      <alignment/>
    </xf>
    <xf numFmtId="10" fontId="0" fillId="34" borderId="42" xfId="0" applyNumberFormat="1" applyFont="1" applyFill="1" applyBorder="1" applyAlignment="1">
      <alignment/>
    </xf>
    <xf numFmtId="3" fontId="1" fillId="35" borderId="44" xfId="0" applyNumberFormat="1" applyFont="1" applyFill="1" applyBorder="1" applyAlignment="1">
      <alignment horizontal="center" wrapText="1"/>
    </xf>
    <xf numFmtId="3" fontId="1" fillId="35" borderId="45" xfId="0" applyNumberFormat="1" applyFont="1" applyFill="1" applyBorder="1" applyAlignment="1">
      <alignment horizontal="center" wrapText="1"/>
    </xf>
    <xf numFmtId="10" fontId="1" fillId="35" borderId="47" xfId="40" applyNumberFormat="1" applyFont="1" applyFill="1" applyBorder="1" applyAlignment="1">
      <alignment/>
    </xf>
    <xf numFmtId="3" fontId="1" fillId="35" borderId="45" xfId="40" applyNumberFormat="1" applyFont="1" applyFill="1" applyBorder="1" applyAlignment="1">
      <alignment/>
    </xf>
    <xf numFmtId="3" fontId="1" fillId="35" borderId="47" xfId="40" applyNumberFormat="1" applyFont="1" applyFill="1" applyBorder="1" applyAlignment="1">
      <alignment/>
    </xf>
    <xf numFmtId="3" fontId="1" fillId="35" borderId="48" xfId="40" applyNumberFormat="1" applyFont="1" applyFill="1" applyBorder="1" applyAlignment="1">
      <alignment/>
    </xf>
    <xf numFmtId="10" fontId="1" fillId="35" borderId="45" xfId="40" applyNumberFormat="1" applyFont="1" applyFill="1" applyBorder="1" applyAlignment="1">
      <alignment/>
    </xf>
    <xf numFmtId="3" fontId="0" fillId="35" borderId="45" xfId="40" applyNumberFormat="1" applyFont="1" applyFill="1" applyBorder="1" applyAlignment="1">
      <alignment/>
    </xf>
    <xf numFmtId="3" fontId="1" fillId="35" borderId="49" xfId="40" applyNumberFormat="1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/>
    </xf>
    <xf numFmtId="1" fontId="1" fillId="34" borderId="12" xfId="0" applyNumberFormat="1" applyFont="1" applyFill="1" applyBorder="1" applyAlignment="1">
      <alignment horizontal="center" wrapText="1"/>
    </xf>
    <xf numFmtId="10" fontId="0" fillId="34" borderId="16" xfId="40" applyNumberFormat="1" applyFont="1" applyFill="1" applyBorder="1" applyAlignment="1">
      <alignment/>
    </xf>
    <xf numFmtId="10" fontId="0" fillId="34" borderId="0" xfId="40" applyNumberFormat="1" applyFont="1" applyFill="1" applyBorder="1" applyAlignment="1">
      <alignment/>
    </xf>
    <xf numFmtId="10" fontId="1" fillId="34" borderId="15" xfId="40" applyNumberFormat="1" applyFont="1" applyFill="1" applyBorder="1" applyAlignment="1">
      <alignment/>
    </xf>
    <xf numFmtId="179" fontId="0" fillId="34" borderId="18" xfId="40" applyNumberFormat="1" applyFont="1" applyFill="1" applyBorder="1" applyAlignment="1">
      <alignment/>
    </xf>
    <xf numFmtId="179" fontId="0" fillId="34" borderId="0" xfId="40" applyNumberFormat="1" applyFont="1" applyFill="1" applyBorder="1" applyAlignment="1">
      <alignment/>
    </xf>
    <xf numFmtId="179" fontId="1" fillId="34" borderId="11" xfId="40" applyNumberFormat="1" applyFont="1" applyFill="1" applyBorder="1" applyAlignment="1">
      <alignment/>
    </xf>
    <xf numFmtId="179" fontId="0" fillId="34" borderId="17" xfId="40" applyNumberFormat="1" applyFont="1" applyFill="1" applyBorder="1" applyAlignment="1">
      <alignment/>
    </xf>
    <xf numFmtId="179" fontId="0" fillId="34" borderId="15" xfId="40" applyNumberFormat="1" applyFont="1" applyFill="1" applyBorder="1" applyAlignment="1">
      <alignment/>
    </xf>
    <xf numFmtId="179" fontId="1" fillId="34" borderId="15" xfId="40" applyNumberFormat="1" applyFont="1" applyFill="1" applyBorder="1" applyAlignment="1">
      <alignment/>
    </xf>
    <xf numFmtId="179" fontId="0" fillId="34" borderId="12" xfId="40" applyNumberFormat="1" applyFont="1" applyFill="1" applyBorder="1" applyAlignment="1">
      <alignment/>
    </xf>
    <xf numFmtId="179" fontId="1" fillId="34" borderId="12" xfId="40" applyNumberFormat="1" applyFont="1" applyFill="1" applyBorder="1" applyAlignment="1">
      <alignment/>
    </xf>
    <xf numFmtId="179" fontId="0" fillId="34" borderId="16" xfId="40" applyNumberFormat="1" applyFont="1" applyFill="1" applyBorder="1" applyAlignment="1">
      <alignment/>
    </xf>
    <xf numFmtId="10" fontId="0" fillId="34" borderId="18" xfId="40" applyNumberFormat="1" applyFont="1" applyFill="1" applyBorder="1" applyAlignment="1">
      <alignment/>
    </xf>
    <xf numFmtId="10" fontId="1" fillId="34" borderId="11" xfId="40" applyNumberFormat="1" applyFont="1" applyFill="1" applyBorder="1" applyAlignment="1">
      <alignment/>
    </xf>
    <xf numFmtId="3" fontId="0" fillId="34" borderId="18" xfId="40" applyNumberFormat="1" applyFont="1" applyFill="1" applyBorder="1" applyAlignment="1">
      <alignment/>
    </xf>
    <xf numFmtId="3" fontId="0" fillId="34" borderId="0" xfId="40" applyNumberFormat="1" applyFont="1" applyFill="1" applyBorder="1" applyAlignment="1">
      <alignment/>
    </xf>
    <xf numFmtId="179" fontId="0" fillId="34" borderId="11" xfId="40" applyNumberFormat="1" applyFont="1" applyFill="1" applyBorder="1" applyAlignment="1">
      <alignment/>
    </xf>
    <xf numFmtId="179" fontId="0" fillId="34" borderId="18" xfId="40" applyNumberFormat="1" applyFont="1" applyFill="1" applyBorder="1" applyAlignment="1">
      <alignment horizontal="right"/>
    </xf>
    <xf numFmtId="179" fontId="0" fillId="34" borderId="17" xfId="40" applyNumberFormat="1" applyFont="1" applyFill="1" applyBorder="1" applyAlignment="1">
      <alignment horizontal="right"/>
    </xf>
    <xf numFmtId="10" fontId="0" fillId="34" borderId="11" xfId="40" applyNumberFormat="1" applyFont="1" applyFill="1" applyBorder="1" applyAlignment="1">
      <alignment/>
    </xf>
    <xf numFmtId="3" fontId="1" fillId="34" borderId="11" xfId="40" applyNumberFormat="1" applyFont="1" applyFill="1" applyBorder="1" applyAlignment="1">
      <alignment/>
    </xf>
    <xf numFmtId="179" fontId="0" fillId="34" borderId="50" xfId="40" applyNumberFormat="1" applyFont="1" applyFill="1" applyBorder="1" applyAlignment="1">
      <alignment/>
    </xf>
    <xf numFmtId="3" fontId="1" fillId="34" borderId="50" xfId="40" applyNumberFormat="1" applyFont="1" applyFill="1" applyBorder="1" applyAlignment="1">
      <alignment/>
    </xf>
    <xf numFmtId="179" fontId="1" fillId="34" borderId="50" xfId="40" applyNumberFormat="1" applyFont="1" applyFill="1" applyBorder="1" applyAlignment="1">
      <alignment/>
    </xf>
    <xf numFmtId="179" fontId="0" fillId="34" borderId="10" xfId="40" applyNumberFormat="1" applyFont="1" applyFill="1" applyBorder="1" applyAlignment="1">
      <alignment/>
    </xf>
    <xf numFmtId="0" fontId="0" fillId="33" borderId="45" xfId="0" applyFill="1" applyBorder="1" applyAlignment="1">
      <alignment/>
    </xf>
    <xf numFmtId="3" fontId="0" fillId="33" borderId="20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24" xfId="0" applyNumberFormat="1" applyFill="1" applyBorder="1" applyAlignment="1">
      <alignment/>
    </xf>
    <xf numFmtId="1" fontId="7" fillId="34" borderId="51" xfId="0" applyNumberFormat="1" applyFont="1" applyFill="1" applyBorder="1" applyAlignment="1">
      <alignment horizontal="center"/>
    </xf>
    <xf numFmtId="3" fontId="7" fillId="34" borderId="51" xfId="0" applyNumberFormat="1" applyFont="1" applyFill="1" applyBorder="1" applyAlignment="1">
      <alignment horizontal="center"/>
    </xf>
    <xf numFmtId="1" fontId="7" fillId="34" borderId="17" xfId="0" applyNumberFormat="1" applyFont="1" applyFill="1" applyBorder="1" applyAlignment="1">
      <alignment horizontal="center"/>
    </xf>
    <xf numFmtId="0" fontId="0" fillId="34" borderId="52" xfId="0" applyFill="1" applyBorder="1" applyAlignment="1">
      <alignment/>
    </xf>
    <xf numFmtId="0" fontId="0" fillId="34" borderId="17" xfId="0" applyFill="1" applyBorder="1" applyAlignment="1">
      <alignment/>
    </xf>
    <xf numFmtId="1" fontId="7" fillId="34" borderId="52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0" fontId="0" fillId="34" borderId="43" xfId="0" applyNumberFormat="1" applyFont="1" applyFill="1" applyBorder="1" applyAlignment="1">
      <alignment/>
    </xf>
    <xf numFmtId="2" fontId="0" fillId="34" borderId="15" xfId="0" applyNumberFormat="1" applyFont="1" applyFill="1" applyBorder="1" applyAlignment="1">
      <alignment horizontal="center" wrapText="1"/>
    </xf>
    <xf numFmtId="2" fontId="0" fillId="34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7" xfId="0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3" fillId="33" borderId="41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9" fillId="33" borderId="43" xfId="0" applyFont="1" applyFill="1" applyBorder="1" applyAlignment="1">
      <alignment horizontal="center" wrapText="1"/>
    </xf>
    <xf numFmtId="0" fontId="0" fillId="33" borderId="41" xfId="0" applyFont="1" applyFill="1" applyBorder="1" applyAlignment="1">
      <alignment wrapText="1"/>
    </xf>
    <xf numFmtId="0" fontId="0" fillId="33" borderId="42" xfId="0" applyFill="1" applyBorder="1" applyAlignment="1">
      <alignment wrapText="1"/>
    </xf>
    <xf numFmtId="0" fontId="3" fillId="34" borderId="41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6">
      <selection activeCell="S53" sqref="S53"/>
    </sheetView>
  </sheetViews>
  <sheetFormatPr defaultColWidth="9.140625" defaultRowHeight="12.75"/>
  <cols>
    <col min="3" max="3" width="20.7109375" style="0" customWidth="1"/>
    <col min="4" max="12" width="9.140625" style="0" hidden="1" customWidth="1"/>
    <col min="13" max="13" width="9.28125" style="0" hidden="1" customWidth="1"/>
    <col min="14" max="14" width="16.57421875" style="0" hidden="1" customWidth="1"/>
    <col min="15" max="18" width="14.28125" style="0" customWidth="1"/>
  </cols>
  <sheetData>
    <row r="1" spans="1:18" ht="15.75">
      <c r="A1" s="221" t="s">
        <v>36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  <c r="P1" s="222"/>
      <c r="Q1" s="222"/>
      <c r="R1" s="144"/>
    </row>
    <row r="2" spans="1:2" ht="12.75" hidden="1">
      <c r="A2" s="35" t="s">
        <v>28</v>
      </c>
      <c r="B2" t="s">
        <v>29</v>
      </c>
    </row>
    <row r="3" spans="1:3" ht="13.5" thickBot="1">
      <c r="A3" s="1"/>
      <c r="C3" t="s">
        <v>11</v>
      </c>
    </row>
    <row r="4" spans="1:18" ht="12.75">
      <c r="A4" s="17"/>
      <c r="B4" s="2"/>
      <c r="C4" s="2"/>
      <c r="D4" s="15"/>
      <c r="E4" s="16"/>
      <c r="F4" s="16"/>
      <c r="G4" s="16" t="s">
        <v>19</v>
      </c>
      <c r="H4" s="16"/>
      <c r="I4" s="30" t="s">
        <v>24</v>
      </c>
      <c r="J4" s="31" t="s">
        <v>25</v>
      </c>
      <c r="K4" s="30" t="s">
        <v>24</v>
      </c>
      <c r="L4" s="31" t="s">
        <v>27</v>
      </c>
      <c r="M4" s="31" t="s">
        <v>32</v>
      </c>
      <c r="N4" s="46" t="s">
        <v>32</v>
      </c>
      <c r="O4" s="178" t="s">
        <v>32</v>
      </c>
      <c r="P4" s="219" t="s">
        <v>74</v>
      </c>
      <c r="Q4" s="179" t="s">
        <v>24</v>
      </c>
      <c r="R4" s="169" t="s">
        <v>24</v>
      </c>
    </row>
    <row r="5" spans="1:18" ht="12.75">
      <c r="A5" s="11"/>
      <c r="B5" s="10"/>
      <c r="C5" s="12"/>
      <c r="D5" s="13" t="s">
        <v>4</v>
      </c>
      <c r="E5" s="14" t="s">
        <v>5</v>
      </c>
      <c r="F5" s="14" t="s">
        <v>6</v>
      </c>
      <c r="G5" s="14" t="s">
        <v>20</v>
      </c>
      <c r="H5" s="14" t="s">
        <v>7</v>
      </c>
      <c r="I5" s="20">
        <v>2008</v>
      </c>
      <c r="J5" s="19">
        <v>2009</v>
      </c>
      <c r="K5" s="20">
        <v>2009</v>
      </c>
      <c r="L5" s="19">
        <v>2009</v>
      </c>
      <c r="M5" s="19">
        <v>2010</v>
      </c>
      <c r="N5" s="47">
        <v>2011</v>
      </c>
      <c r="O5" s="180">
        <v>2012</v>
      </c>
      <c r="P5" s="220"/>
      <c r="Q5" s="181">
        <v>2014</v>
      </c>
      <c r="R5" s="170">
        <v>2015</v>
      </c>
    </row>
    <row r="6" spans="1:18" ht="25.5">
      <c r="A6" s="5" t="s">
        <v>145</v>
      </c>
      <c r="B6" s="4"/>
      <c r="C6" s="140" t="s">
        <v>115</v>
      </c>
      <c r="D6" s="3"/>
      <c r="E6" s="4"/>
      <c r="F6" s="4"/>
      <c r="G6" s="4"/>
      <c r="H6" s="4"/>
      <c r="I6" s="21"/>
      <c r="J6" s="18"/>
      <c r="K6" s="36"/>
      <c r="L6" s="18"/>
      <c r="M6" s="41"/>
      <c r="N6" s="48"/>
      <c r="O6" s="182">
        <v>0.029</v>
      </c>
      <c r="P6" s="183">
        <v>0.016</v>
      </c>
      <c r="Q6" s="184">
        <v>0.018</v>
      </c>
      <c r="R6" s="171">
        <v>0.0179</v>
      </c>
    </row>
    <row r="7" spans="1:18" ht="12.75">
      <c r="A7" s="3" t="s">
        <v>30</v>
      </c>
      <c r="C7" s="4" t="s">
        <v>144</v>
      </c>
      <c r="D7" s="3">
        <v>36</v>
      </c>
      <c r="E7" s="4">
        <v>36</v>
      </c>
      <c r="F7" s="4">
        <v>36</v>
      </c>
      <c r="G7" s="4">
        <v>36</v>
      </c>
      <c r="H7" s="4">
        <v>36</v>
      </c>
      <c r="I7" s="21">
        <v>41</v>
      </c>
      <c r="J7" s="27">
        <f>+I7*1.047</f>
        <v>42.927</v>
      </c>
      <c r="K7" s="37">
        <v>47</v>
      </c>
      <c r="L7" s="32">
        <v>47</v>
      </c>
      <c r="M7" s="42">
        <v>45</v>
      </c>
      <c r="N7" s="49">
        <v>46</v>
      </c>
      <c r="O7" s="185">
        <v>47</v>
      </c>
      <c r="P7" s="186">
        <f>O7+(O7*$P$6)</f>
        <v>47.752</v>
      </c>
      <c r="Q7" s="187">
        <f>P7+(P7*Q6)</f>
        <v>48.611536</v>
      </c>
      <c r="R7" s="172">
        <v>50</v>
      </c>
    </row>
    <row r="8" spans="1:18" ht="12.75">
      <c r="A8" s="11" t="s">
        <v>31</v>
      </c>
      <c r="B8" s="10"/>
      <c r="C8" s="10" t="s">
        <v>144</v>
      </c>
      <c r="D8" s="11">
        <v>12</v>
      </c>
      <c r="E8" s="10">
        <v>12</v>
      </c>
      <c r="F8" s="10">
        <v>12</v>
      </c>
      <c r="G8" s="10">
        <v>12</v>
      </c>
      <c r="H8" s="10">
        <v>12</v>
      </c>
      <c r="I8" s="22">
        <v>8</v>
      </c>
      <c r="J8" s="27">
        <f aca="true" t="shared" si="0" ref="J8:J20">+I8*1.047</f>
        <v>8.376</v>
      </c>
      <c r="K8" s="38">
        <v>9</v>
      </c>
      <c r="L8" s="33">
        <v>9</v>
      </c>
      <c r="M8" s="42">
        <f>+K8*1.031</f>
        <v>9.279</v>
      </c>
      <c r="N8" s="50">
        <v>10</v>
      </c>
      <c r="O8" s="188">
        <f>N8+(N8*O$6)</f>
        <v>10.29</v>
      </c>
      <c r="P8" s="186">
        <f>O8+(O8*$P$6)</f>
        <v>10.45464</v>
      </c>
      <c r="Q8" s="187">
        <v>10</v>
      </c>
      <c r="R8" s="172">
        <v>11</v>
      </c>
    </row>
    <row r="9" spans="1:18" ht="12.75">
      <c r="A9" s="3"/>
      <c r="B9" s="4"/>
      <c r="C9" s="4"/>
      <c r="D9" s="4"/>
      <c r="E9" s="4"/>
      <c r="F9" s="4"/>
      <c r="G9" s="4"/>
      <c r="H9" s="4"/>
      <c r="I9" s="21"/>
      <c r="J9" s="29" t="s">
        <v>11</v>
      </c>
      <c r="K9" s="21"/>
      <c r="L9" s="26"/>
      <c r="M9" s="43" t="s">
        <v>11</v>
      </c>
      <c r="N9" s="49"/>
      <c r="O9" s="185"/>
      <c r="P9" s="189"/>
      <c r="Q9" s="190"/>
      <c r="R9" s="173"/>
    </row>
    <row r="10" spans="1:18" ht="12.75">
      <c r="A10" s="9" t="s">
        <v>17</v>
      </c>
      <c r="B10" s="10"/>
      <c r="C10" s="10"/>
      <c r="D10" s="10"/>
      <c r="E10" s="10"/>
      <c r="F10" s="10"/>
      <c r="G10" s="10"/>
      <c r="H10" s="10"/>
      <c r="I10" s="22"/>
      <c r="J10" s="28" t="s">
        <v>11</v>
      </c>
      <c r="K10" s="22"/>
      <c r="L10" s="34"/>
      <c r="M10" s="44" t="s">
        <v>11</v>
      </c>
      <c r="N10" s="49"/>
      <c r="O10" s="185"/>
      <c r="P10" s="191"/>
      <c r="Q10" s="192"/>
      <c r="R10" s="174"/>
    </row>
    <row r="11" spans="1:18" ht="12.75">
      <c r="A11" s="3"/>
      <c r="B11" s="4"/>
      <c r="C11" s="4"/>
      <c r="D11" s="3"/>
      <c r="E11" s="4"/>
      <c r="F11" s="4"/>
      <c r="G11" s="4"/>
      <c r="H11" s="4"/>
      <c r="I11" s="21"/>
      <c r="J11" s="27" t="s">
        <v>11</v>
      </c>
      <c r="K11" s="21"/>
      <c r="L11" s="26"/>
      <c r="M11" s="42" t="s">
        <v>11</v>
      </c>
      <c r="N11" s="51"/>
      <c r="O11" s="193"/>
      <c r="P11" s="186"/>
      <c r="Q11" s="190"/>
      <c r="R11" s="172"/>
    </row>
    <row r="12" spans="1:18" ht="12.75">
      <c r="A12" s="5" t="s">
        <v>8</v>
      </c>
      <c r="B12" s="4"/>
      <c r="C12" s="4" t="s">
        <v>37</v>
      </c>
      <c r="D12" s="3"/>
      <c r="E12" s="4"/>
      <c r="F12" s="4"/>
      <c r="G12" s="4"/>
      <c r="H12" s="4"/>
      <c r="I12" s="21"/>
      <c r="J12" s="27" t="s">
        <v>11</v>
      </c>
      <c r="K12" s="21"/>
      <c r="L12" s="26"/>
      <c r="M12" s="42" t="s">
        <v>11</v>
      </c>
      <c r="N12" s="49"/>
      <c r="O12" s="194">
        <v>0.029</v>
      </c>
      <c r="P12" s="183">
        <v>0.016</v>
      </c>
      <c r="Q12" s="195">
        <v>0.018</v>
      </c>
      <c r="R12" s="175">
        <v>0.0179</v>
      </c>
    </row>
    <row r="13" spans="1:18" ht="12.75">
      <c r="A13" s="3"/>
      <c r="B13" s="4"/>
      <c r="C13" s="4"/>
      <c r="D13" s="3"/>
      <c r="E13" s="4"/>
      <c r="F13" s="4"/>
      <c r="G13" s="4"/>
      <c r="H13" s="4"/>
      <c r="I13" s="21"/>
      <c r="J13" s="27" t="s">
        <v>11</v>
      </c>
      <c r="K13" s="21"/>
      <c r="L13" s="26"/>
      <c r="M13" s="42" t="s">
        <v>11</v>
      </c>
      <c r="N13" s="49"/>
      <c r="O13" s="185"/>
      <c r="P13" s="186"/>
      <c r="Q13" s="187"/>
      <c r="R13" s="172"/>
    </row>
    <row r="14" spans="1:19" ht="12.75">
      <c r="A14" s="3" t="s">
        <v>134</v>
      </c>
      <c r="B14" s="4"/>
      <c r="C14" s="4"/>
      <c r="D14" s="3">
        <v>9</v>
      </c>
      <c r="E14" s="4">
        <v>18</v>
      </c>
      <c r="F14" s="4">
        <v>15.25</v>
      </c>
      <c r="G14" s="4"/>
      <c r="H14" s="4"/>
      <c r="I14" s="21">
        <v>14</v>
      </c>
      <c r="J14" s="27">
        <f t="shared" si="0"/>
        <v>14.658</v>
      </c>
      <c r="K14" s="21">
        <v>15</v>
      </c>
      <c r="L14" s="25">
        <v>16</v>
      </c>
      <c r="M14" s="45">
        <f>+K14*1.031</f>
        <v>15.464999999999998</v>
      </c>
      <c r="N14" s="52">
        <v>16</v>
      </c>
      <c r="O14" s="196">
        <f>N14+(N14*O$12)</f>
        <v>16.464</v>
      </c>
      <c r="P14" s="186">
        <f>O14+(O14*$P$12)</f>
        <v>16.727424</v>
      </c>
      <c r="Q14" s="187">
        <f>P14+(P14*$Q$6)</f>
        <v>17.028517632</v>
      </c>
      <c r="R14" s="172">
        <f>Q14+(Q14*R6)</f>
        <v>17.3333280976128</v>
      </c>
      <c r="S14" s="1"/>
    </row>
    <row r="15" spans="1:19" ht="12.75">
      <c r="A15" s="3" t="s">
        <v>135</v>
      </c>
      <c r="B15" s="4"/>
      <c r="C15" s="4"/>
      <c r="D15" s="3"/>
      <c r="E15" s="4">
        <v>44</v>
      </c>
      <c r="F15" s="4"/>
      <c r="G15" s="4"/>
      <c r="H15" s="4"/>
      <c r="I15" s="21"/>
      <c r="J15" s="27" t="s">
        <v>26</v>
      </c>
      <c r="K15" s="21"/>
      <c r="L15" s="25"/>
      <c r="M15" s="45" t="s">
        <v>11</v>
      </c>
      <c r="N15" s="52"/>
      <c r="O15" s="196"/>
      <c r="P15" s="197"/>
      <c r="Q15" s="187"/>
      <c r="R15" s="172"/>
      <c r="S15" s="1"/>
    </row>
    <row r="16" spans="1:19" ht="12.75">
      <c r="A16" s="3" t="s">
        <v>136</v>
      </c>
      <c r="B16" s="4"/>
      <c r="C16" s="4"/>
      <c r="D16" s="3">
        <v>32</v>
      </c>
      <c r="E16" s="4" t="s">
        <v>11</v>
      </c>
      <c r="F16" s="4">
        <v>32.5</v>
      </c>
      <c r="G16" s="4"/>
      <c r="H16" s="4"/>
      <c r="I16" s="21">
        <v>41</v>
      </c>
      <c r="J16" s="27">
        <f t="shared" si="0"/>
        <v>42.927</v>
      </c>
      <c r="K16" s="21">
        <v>47</v>
      </c>
      <c r="L16" s="25">
        <v>47</v>
      </c>
      <c r="M16" s="45">
        <f>+K16*1.031</f>
        <v>48.456999999999994</v>
      </c>
      <c r="N16" s="52">
        <v>46</v>
      </c>
      <c r="O16" s="196">
        <f>N16+(N16*O$12)</f>
        <v>47.334</v>
      </c>
      <c r="P16" s="186">
        <f>O16+(O16*$P$12)</f>
        <v>48.09134400000001</v>
      </c>
      <c r="Q16" s="187">
        <f>P16+(P16*$Q$6)</f>
        <v>48.956988192000004</v>
      </c>
      <c r="R16" s="172">
        <f>Q16+(Q16*R6)</f>
        <v>49.8333182806368</v>
      </c>
      <c r="S16" s="1"/>
    </row>
    <row r="17" spans="1:19" ht="12.75">
      <c r="A17" s="3" t="s">
        <v>137</v>
      </c>
      <c r="B17" s="4"/>
      <c r="C17" s="4"/>
      <c r="D17" s="3">
        <v>8</v>
      </c>
      <c r="E17" s="4"/>
      <c r="F17" s="4">
        <v>6</v>
      </c>
      <c r="G17" s="4"/>
      <c r="H17" s="4"/>
      <c r="I17" s="21">
        <v>8</v>
      </c>
      <c r="J17" s="27">
        <f t="shared" si="0"/>
        <v>8.376</v>
      </c>
      <c r="K17" s="21">
        <v>9</v>
      </c>
      <c r="L17" s="25">
        <v>9</v>
      </c>
      <c r="M17" s="45">
        <f>+K17*1.031</f>
        <v>9.279</v>
      </c>
      <c r="N17" s="52">
        <v>10</v>
      </c>
      <c r="O17" s="196">
        <f>N17+(N17*O$12)</f>
        <v>10.29</v>
      </c>
      <c r="P17" s="186">
        <f>O17+(O17*$P$12)</f>
        <v>10.45464</v>
      </c>
      <c r="Q17" s="187">
        <f>P17+(P17*$Q$6)-1</f>
        <v>9.64282352</v>
      </c>
      <c r="R17" s="172">
        <v>11</v>
      </c>
      <c r="S17" s="1"/>
    </row>
    <row r="18" spans="1:19" ht="12.75">
      <c r="A18" s="3" t="s">
        <v>138</v>
      </c>
      <c r="B18" s="4"/>
      <c r="C18" s="4"/>
      <c r="D18" s="3">
        <v>4</v>
      </c>
      <c r="E18" s="4"/>
      <c r="F18" s="4">
        <v>7</v>
      </c>
      <c r="G18" s="4"/>
      <c r="H18" s="4"/>
      <c r="I18" s="21">
        <v>5</v>
      </c>
      <c r="J18" s="27">
        <f t="shared" si="0"/>
        <v>5.234999999999999</v>
      </c>
      <c r="K18" s="21">
        <v>5</v>
      </c>
      <c r="L18" s="25">
        <v>6</v>
      </c>
      <c r="M18" s="45">
        <f>+K18*1.031</f>
        <v>5.154999999999999</v>
      </c>
      <c r="N18" s="52">
        <v>6</v>
      </c>
      <c r="O18" s="196">
        <f>N18+(N18*O$12)</f>
        <v>6.174</v>
      </c>
      <c r="P18" s="186">
        <f>O18+(O18*$P$12)</f>
        <v>6.272784000000001</v>
      </c>
      <c r="Q18" s="187">
        <f>P18+(P18*$Q$6)</f>
        <v>6.385694112</v>
      </c>
      <c r="R18" s="172">
        <f>Q18+(Q18*R6)</f>
        <v>6.499998036604801</v>
      </c>
      <c r="S18" s="1"/>
    </row>
    <row r="19" spans="1:19" ht="12.75">
      <c r="A19" s="3" t="s">
        <v>139</v>
      </c>
      <c r="B19" s="4"/>
      <c r="C19" s="4"/>
      <c r="D19" s="3">
        <v>22</v>
      </c>
      <c r="E19" s="4">
        <v>24</v>
      </c>
      <c r="F19" s="4">
        <v>19.75</v>
      </c>
      <c r="G19" s="4"/>
      <c r="H19" s="4"/>
      <c r="I19" s="21">
        <v>17</v>
      </c>
      <c r="J19" s="27">
        <f t="shared" si="0"/>
        <v>17.799</v>
      </c>
      <c r="K19" s="21">
        <v>18</v>
      </c>
      <c r="L19" s="25">
        <v>20</v>
      </c>
      <c r="M19" s="45">
        <f>+K19*1.031</f>
        <v>18.558</v>
      </c>
      <c r="N19" s="52">
        <v>20</v>
      </c>
      <c r="O19" s="196">
        <v>22</v>
      </c>
      <c r="P19" s="186">
        <f>O19+(O19*$P$12)</f>
        <v>22.352</v>
      </c>
      <c r="Q19" s="187">
        <f>P19+(P19*$Q$6)</f>
        <v>22.754336</v>
      </c>
      <c r="R19" s="172">
        <f>Q19+(Q19*R6)</f>
        <v>23.161638614399997</v>
      </c>
      <c r="S19" s="1"/>
    </row>
    <row r="20" spans="1:19" ht="12.75">
      <c r="A20" s="3" t="s">
        <v>140</v>
      </c>
      <c r="B20" s="4"/>
      <c r="C20" s="4"/>
      <c r="D20" s="3">
        <v>4</v>
      </c>
      <c r="E20" s="4"/>
      <c r="F20" s="4">
        <v>2.5</v>
      </c>
      <c r="G20" s="4"/>
      <c r="H20" s="4"/>
      <c r="I20" s="21">
        <v>5</v>
      </c>
      <c r="J20" s="27">
        <f t="shared" si="0"/>
        <v>5.234999999999999</v>
      </c>
      <c r="K20" s="21">
        <v>5</v>
      </c>
      <c r="L20" s="25">
        <v>6</v>
      </c>
      <c r="M20" s="45">
        <f>+K20*1.031</f>
        <v>5.154999999999999</v>
      </c>
      <c r="N20" s="52">
        <v>6</v>
      </c>
      <c r="O20" s="196">
        <f>N20+(N20*O$12)</f>
        <v>6.174</v>
      </c>
      <c r="P20" s="186">
        <f>O20+(O20*$P$12)</f>
        <v>6.272784000000001</v>
      </c>
      <c r="Q20" s="187">
        <f>P20+(P20*$Q$6)</f>
        <v>6.385694112</v>
      </c>
      <c r="R20" s="172">
        <f>Q20+(Q20*R6)</f>
        <v>6.499998036604801</v>
      </c>
      <c r="S20" s="1"/>
    </row>
    <row r="21" spans="1:19" ht="12.75">
      <c r="A21" s="3"/>
      <c r="B21" s="4"/>
      <c r="C21" s="4"/>
      <c r="D21" s="3"/>
      <c r="E21" s="4"/>
      <c r="F21" s="4"/>
      <c r="G21" s="4"/>
      <c r="H21" s="4"/>
      <c r="I21" s="21" t="s">
        <v>11</v>
      </c>
      <c r="J21" s="27" t="s">
        <v>11</v>
      </c>
      <c r="K21" s="21"/>
      <c r="L21" s="25"/>
      <c r="M21" s="45" t="s">
        <v>11</v>
      </c>
      <c r="N21" s="52"/>
      <c r="O21" s="185"/>
      <c r="P21" s="186"/>
      <c r="Q21" s="198"/>
      <c r="R21" s="176"/>
      <c r="S21" s="1"/>
    </row>
    <row r="22" spans="1:19" ht="12.75">
      <c r="A22" s="3" t="s">
        <v>16</v>
      </c>
      <c r="B22" s="4"/>
      <c r="C22" s="4"/>
      <c r="D22" s="3"/>
      <c r="E22" s="4"/>
      <c r="F22" s="4"/>
      <c r="G22" s="4"/>
      <c r="H22" s="4"/>
      <c r="I22" s="21"/>
      <c r="J22" s="27" t="s">
        <v>11</v>
      </c>
      <c r="K22" s="21"/>
      <c r="L22" s="25"/>
      <c r="M22" s="45" t="s">
        <v>11</v>
      </c>
      <c r="N22" s="52"/>
      <c r="O22" s="185"/>
      <c r="P22" s="186"/>
      <c r="Q22" s="198"/>
      <c r="R22" s="176"/>
      <c r="S22" s="1"/>
    </row>
    <row r="23" spans="1:19" ht="12.75">
      <c r="A23" s="3" t="s">
        <v>18</v>
      </c>
      <c r="B23" s="4"/>
      <c r="C23" s="4"/>
      <c r="D23" s="8">
        <f>SUM(D14:D22)</f>
        <v>79</v>
      </c>
      <c r="E23" s="6">
        <f>SUM(E14:E22)</f>
        <v>86</v>
      </c>
      <c r="F23" s="6">
        <f>SUM(F14:F22)</f>
        <v>83</v>
      </c>
      <c r="G23" s="6">
        <f>SUM(G14:G22)</f>
        <v>0</v>
      </c>
      <c r="H23" s="6">
        <v>108</v>
      </c>
      <c r="I23" s="21">
        <f>SUM(I14:I22)</f>
        <v>90</v>
      </c>
      <c r="J23" s="27">
        <f>SUM(J14:J20)</f>
        <v>94.23</v>
      </c>
      <c r="K23" s="21">
        <f>SUM(K14:K20)</f>
        <v>99</v>
      </c>
      <c r="L23" s="25">
        <f>SUM(L14:L20)</f>
        <v>104</v>
      </c>
      <c r="M23" s="45">
        <f>SUM(M14:M20)</f>
        <v>102.06899999999999</v>
      </c>
      <c r="N23" s="52">
        <v>104</v>
      </c>
      <c r="O23" s="199">
        <v>107.25</v>
      </c>
      <c r="P23" s="186">
        <f>O23+(O23*$P$12)</f>
        <v>108.966</v>
      </c>
      <c r="Q23" s="187">
        <f>SUM(Q14:Q20)</f>
        <v>111.154053568</v>
      </c>
      <c r="R23" s="172">
        <v>113</v>
      </c>
      <c r="S23" s="1"/>
    </row>
    <row r="24" spans="1:19" ht="12.75">
      <c r="A24" s="53" t="s">
        <v>40</v>
      </c>
      <c r="B24" s="4"/>
      <c r="C24" s="4"/>
      <c r="D24" s="6"/>
      <c r="E24" s="6"/>
      <c r="F24" s="6"/>
      <c r="G24" s="6"/>
      <c r="H24" s="6"/>
      <c r="I24" s="21"/>
      <c r="J24" s="27"/>
      <c r="K24" s="21"/>
      <c r="L24" s="25"/>
      <c r="M24" s="45"/>
      <c r="N24" s="52"/>
      <c r="O24" s="199">
        <f>O23*365/12</f>
        <v>3262.1875</v>
      </c>
      <c r="P24" s="186">
        <f>O24+(O24*$P$12)</f>
        <v>3314.3825</v>
      </c>
      <c r="Q24" s="187">
        <v>3374</v>
      </c>
      <c r="R24" s="172">
        <v>3425</v>
      </c>
      <c r="S24" s="35" t="s">
        <v>42</v>
      </c>
    </row>
    <row r="25" spans="1:18" ht="12.75">
      <c r="A25" s="3" t="s">
        <v>65</v>
      </c>
      <c r="B25" s="4"/>
      <c r="C25" s="4"/>
      <c r="D25" s="10">
        <f aca="true" t="shared" si="1" ref="D25:I25">+D23*30</f>
        <v>2370</v>
      </c>
      <c r="E25" s="10">
        <f t="shared" si="1"/>
        <v>2580</v>
      </c>
      <c r="F25" s="10">
        <f t="shared" si="1"/>
        <v>2490</v>
      </c>
      <c r="G25" s="10">
        <v>1600</v>
      </c>
      <c r="H25" s="10">
        <f t="shared" si="1"/>
        <v>3240</v>
      </c>
      <c r="I25" s="22">
        <f t="shared" si="1"/>
        <v>2700</v>
      </c>
      <c r="J25" s="28">
        <f>94*30</f>
        <v>2820</v>
      </c>
      <c r="K25" s="39">
        <f>+(K23)*30</f>
        <v>2970</v>
      </c>
      <c r="L25" s="28">
        <f>+(L23)*30</f>
        <v>3120</v>
      </c>
      <c r="M25" s="42">
        <v>3060</v>
      </c>
      <c r="N25" s="49">
        <v>3120</v>
      </c>
      <c r="O25" s="199">
        <f>O23*30</f>
        <v>3217.5</v>
      </c>
      <c r="P25" s="186">
        <f>O25+(O25*$P$12)</f>
        <v>3268.98</v>
      </c>
      <c r="Q25" s="187">
        <f>Q24*12/365*30</f>
        <v>3327.780821917808</v>
      </c>
      <c r="R25" s="172">
        <f>R24*12/365*30</f>
        <v>3378.0821917808216</v>
      </c>
    </row>
    <row r="26" spans="1:18" ht="12.75">
      <c r="A26" s="11" t="s">
        <v>33</v>
      </c>
      <c r="B26" s="10"/>
      <c r="C26" s="12"/>
      <c r="D26" s="3"/>
      <c r="E26" s="4"/>
      <c r="F26" s="4"/>
      <c r="G26" s="4"/>
      <c r="H26" s="4"/>
      <c r="I26" s="21"/>
      <c r="J26" s="27"/>
      <c r="K26" s="40"/>
      <c r="L26" s="27"/>
      <c r="M26" s="42">
        <v>3111</v>
      </c>
      <c r="N26" s="50">
        <v>3170</v>
      </c>
      <c r="O26" s="200">
        <f>O23*31</f>
        <v>3324.75</v>
      </c>
      <c r="P26" s="186">
        <f>O26+(O26*$P$12)</f>
        <v>3377.946</v>
      </c>
      <c r="Q26" s="192">
        <f>Q24*12/365*31</f>
        <v>3438.706849315068</v>
      </c>
      <c r="R26" s="172">
        <f>R24*12/365*31</f>
        <v>3490.6849315068494</v>
      </c>
    </row>
    <row r="27" spans="1:18" ht="12.75">
      <c r="A27" s="3"/>
      <c r="B27" s="4"/>
      <c r="C27" s="4"/>
      <c r="D27" s="3"/>
      <c r="E27" s="4"/>
      <c r="F27" s="4"/>
      <c r="G27" s="4"/>
      <c r="H27" s="4"/>
      <c r="I27" s="21"/>
      <c r="J27" s="27" t="s">
        <v>11</v>
      </c>
      <c r="K27" s="21"/>
      <c r="L27" s="26"/>
      <c r="M27" s="43" t="s">
        <v>11</v>
      </c>
      <c r="N27" s="49"/>
      <c r="O27" s="185"/>
      <c r="P27" s="189"/>
      <c r="Q27" s="190"/>
      <c r="R27" s="173"/>
    </row>
    <row r="28" spans="1:18" ht="12.75">
      <c r="A28" s="5" t="s">
        <v>9</v>
      </c>
      <c r="B28" s="4"/>
      <c r="C28" s="4" t="s">
        <v>141</v>
      </c>
      <c r="D28" s="3"/>
      <c r="E28" s="4"/>
      <c r="F28" s="4"/>
      <c r="G28" s="4"/>
      <c r="H28" s="4"/>
      <c r="I28" s="21"/>
      <c r="J28" s="27" t="s">
        <v>11</v>
      </c>
      <c r="K28" s="21"/>
      <c r="L28" s="26"/>
      <c r="M28" s="42" t="s">
        <v>11</v>
      </c>
      <c r="N28" s="49" t="s">
        <v>34</v>
      </c>
      <c r="O28" s="185" t="s">
        <v>35</v>
      </c>
      <c r="P28" s="201">
        <v>0.016</v>
      </c>
      <c r="Q28" s="195">
        <v>0.018</v>
      </c>
      <c r="R28" s="172">
        <v>0.0179</v>
      </c>
    </row>
    <row r="29" spans="1:18" ht="12.75">
      <c r="A29" s="3"/>
      <c r="B29" s="4"/>
      <c r="C29" s="4"/>
      <c r="D29" s="3"/>
      <c r="E29" s="4"/>
      <c r="F29" s="4"/>
      <c r="G29" s="4"/>
      <c r="H29" s="4"/>
      <c r="I29" s="21"/>
      <c r="J29" s="27" t="s">
        <v>11</v>
      </c>
      <c r="K29" s="21"/>
      <c r="L29" s="26"/>
      <c r="M29" s="42" t="s">
        <v>11</v>
      </c>
      <c r="N29" s="49"/>
      <c r="O29" s="185"/>
      <c r="P29" s="191"/>
      <c r="Q29" s="192"/>
      <c r="R29" s="174"/>
    </row>
    <row r="30" spans="1:18" ht="12.75">
      <c r="A30" s="3" t="s">
        <v>60</v>
      </c>
      <c r="B30" s="4"/>
      <c r="C30" s="4"/>
      <c r="D30" s="3"/>
      <c r="E30" s="4"/>
      <c r="F30" s="4"/>
      <c r="G30" s="4"/>
      <c r="H30" s="4"/>
      <c r="I30" s="21">
        <v>200</v>
      </c>
      <c r="J30" s="27">
        <f>+I30*1.047</f>
        <v>209.39999999999998</v>
      </c>
      <c r="K30" s="40">
        <f>J30</f>
        <v>209.39999999999998</v>
      </c>
      <c r="L30" s="27">
        <f>+J30</f>
        <v>209.39999999999998</v>
      </c>
      <c r="M30" s="42"/>
      <c r="N30" s="51"/>
      <c r="O30" s="193"/>
      <c r="P30" s="186"/>
      <c r="Q30" s="187"/>
      <c r="R30" s="172"/>
    </row>
    <row r="31" spans="1:18" ht="12.75" hidden="1">
      <c r="A31" s="3" t="s">
        <v>22</v>
      </c>
      <c r="B31" s="4"/>
      <c r="C31" s="4"/>
      <c r="D31" s="3"/>
      <c r="E31" s="4">
        <v>220</v>
      </c>
      <c r="F31" s="4"/>
      <c r="G31" s="4"/>
      <c r="H31" s="4"/>
      <c r="I31" s="21"/>
      <c r="J31" s="27">
        <f>+I31*1.045</f>
        <v>0</v>
      </c>
      <c r="K31" s="40">
        <f>+I31*1.045</f>
        <v>0</v>
      </c>
      <c r="L31" s="27">
        <f>+J31*1.045</f>
        <v>0</v>
      </c>
      <c r="M31" s="42">
        <f>+K31*1.031</f>
        <v>0</v>
      </c>
      <c r="N31" s="49"/>
      <c r="O31" s="185"/>
      <c r="P31" s="186"/>
      <c r="Q31" s="187"/>
      <c r="R31" s="172"/>
    </row>
    <row r="32" spans="1:19" ht="12.75">
      <c r="A32" s="54" t="s">
        <v>66</v>
      </c>
      <c r="B32" s="4"/>
      <c r="C32" s="4"/>
      <c r="D32" s="3"/>
      <c r="E32" s="4"/>
      <c r="F32" s="4"/>
      <c r="G32" s="4"/>
      <c r="H32" s="4"/>
      <c r="I32" s="21"/>
      <c r="J32" s="27"/>
      <c r="K32" s="40"/>
      <c r="L32" s="27"/>
      <c r="M32" s="42"/>
      <c r="N32" s="49">
        <v>36</v>
      </c>
      <c r="O32" s="185">
        <v>36</v>
      </c>
      <c r="P32" s="186">
        <f>O32+(O32*$P$28)</f>
        <v>36.576</v>
      </c>
      <c r="Q32" s="202">
        <f>P32+(P32*$Q$28)</f>
        <v>37.234368</v>
      </c>
      <c r="R32" s="172">
        <f>Q32+(Q32*R28)</f>
        <v>37.9008631872</v>
      </c>
      <c r="S32" t="s">
        <v>38</v>
      </c>
    </row>
    <row r="33" spans="1:19" ht="12.75">
      <c r="A33" s="54" t="s">
        <v>67</v>
      </c>
      <c r="B33" s="4"/>
      <c r="C33" s="4"/>
      <c r="D33" s="3"/>
      <c r="E33" s="4"/>
      <c r="F33" s="4"/>
      <c r="G33" s="4"/>
      <c r="H33" s="4"/>
      <c r="I33" s="21"/>
      <c r="J33" s="27"/>
      <c r="K33" s="40"/>
      <c r="L33" s="27"/>
      <c r="M33" s="42">
        <v>216</v>
      </c>
      <c r="N33" s="49">
        <v>220</v>
      </c>
      <c r="O33" s="185">
        <v>225</v>
      </c>
      <c r="P33" s="186">
        <f>O33+(O33*$P$28)</f>
        <v>228.6</v>
      </c>
      <c r="Q33" s="202">
        <f>P33+(P33*$Q$28)</f>
        <v>232.7148</v>
      </c>
      <c r="R33" s="172">
        <f>Q33+(Q33*R28)</f>
        <v>236.88039492</v>
      </c>
      <c r="S33" t="s">
        <v>39</v>
      </c>
    </row>
    <row r="34" spans="1:19" ht="12.75">
      <c r="A34" s="3" t="s">
        <v>2</v>
      </c>
      <c r="B34" s="4"/>
      <c r="C34" s="4"/>
      <c r="D34" s="3">
        <v>50</v>
      </c>
      <c r="E34" s="4"/>
      <c r="F34" s="4">
        <v>40.5</v>
      </c>
      <c r="G34" s="4"/>
      <c r="H34" s="4"/>
      <c r="I34" s="21">
        <v>50</v>
      </c>
      <c r="J34" s="27">
        <f>+I34*1.047</f>
        <v>52.349999999999994</v>
      </c>
      <c r="K34" s="40">
        <f>J34</f>
        <v>52.349999999999994</v>
      </c>
      <c r="L34" s="27">
        <f>+J34</f>
        <v>52.349999999999994</v>
      </c>
      <c r="M34" s="42">
        <f>+K34*1.031</f>
        <v>53.97284999999999</v>
      </c>
      <c r="N34" s="49">
        <v>55</v>
      </c>
      <c r="O34" s="193">
        <v>66</v>
      </c>
      <c r="P34" s="203">
        <f>O34+(O34*$P$28)</f>
        <v>67.056</v>
      </c>
      <c r="Q34" s="204">
        <f>P34+(P34*$Q$28)</f>
        <v>68.263008</v>
      </c>
      <c r="R34" s="177">
        <f>Q34+4+(Q34*R28)</f>
        <v>73.4849158432</v>
      </c>
      <c r="S34" s="35" t="s">
        <v>119</v>
      </c>
    </row>
    <row r="35" spans="1:18" ht="12.75">
      <c r="A35" s="3" t="s">
        <v>3</v>
      </c>
      <c r="B35" s="4"/>
      <c r="C35" s="4"/>
      <c r="D35" s="3">
        <v>40</v>
      </c>
      <c r="E35" s="4"/>
      <c r="F35" s="4"/>
      <c r="G35" s="4"/>
      <c r="H35" s="4"/>
      <c r="I35" s="23">
        <v>41</v>
      </c>
      <c r="J35" s="27">
        <f>+I35*1.047</f>
        <v>42.927</v>
      </c>
      <c r="K35" s="40">
        <f>J35</f>
        <v>42.927</v>
      </c>
      <c r="L35" s="27">
        <f>+J35</f>
        <v>42.927</v>
      </c>
      <c r="M35" s="42">
        <f>+K35*1.031</f>
        <v>44.257737</v>
      </c>
      <c r="N35" s="49">
        <v>45</v>
      </c>
      <c r="O35" s="193"/>
      <c r="P35" s="203"/>
      <c r="Q35" s="202"/>
      <c r="R35" s="172"/>
    </row>
    <row r="36" spans="1:19" ht="12.75">
      <c r="A36" s="11" t="s">
        <v>23</v>
      </c>
      <c r="B36" s="10"/>
      <c r="C36" s="10"/>
      <c r="D36" s="11">
        <v>45</v>
      </c>
      <c r="E36" s="10"/>
      <c r="F36" s="10"/>
      <c r="G36" s="10"/>
      <c r="H36" s="10"/>
      <c r="I36" s="24">
        <v>50</v>
      </c>
      <c r="J36" s="28">
        <f>+I36*1.047</f>
        <v>52.349999999999994</v>
      </c>
      <c r="K36" s="39">
        <f>J36</f>
        <v>52.349999999999994</v>
      </c>
      <c r="L36" s="28">
        <f>+J36</f>
        <v>52.349999999999994</v>
      </c>
      <c r="M36" s="44">
        <f>+K36*1.031</f>
        <v>53.97284999999999</v>
      </c>
      <c r="N36" s="50">
        <v>55</v>
      </c>
      <c r="O36" s="193">
        <v>24</v>
      </c>
      <c r="P36" s="203">
        <f>O36+(O36*$P$28)</f>
        <v>24.384</v>
      </c>
      <c r="Q36" s="204">
        <f aca="true" t="shared" si="2" ref="Q36:Q48">P36+(P36*$Q$28)</f>
        <v>24.822912</v>
      </c>
      <c r="R36" s="177">
        <f>Q36+(Q36*R28)</f>
        <v>25.2672421248</v>
      </c>
      <c r="S36" t="s">
        <v>58</v>
      </c>
    </row>
    <row r="37" spans="1:18" ht="24.75" customHeight="1">
      <c r="A37" s="5" t="s">
        <v>118</v>
      </c>
      <c r="B37" s="4"/>
      <c r="C37" s="4" t="s">
        <v>142</v>
      </c>
      <c r="D37" s="3"/>
      <c r="E37" s="4"/>
      <c r="F37" s="4"/>
      <c r="G37" s="4"/>
      <c r="H37" s="4"/>
      <c r="I37" s="21"/>
      <c r="J37" s="27" t="s">
        <v>11</v>
      </c>
      <c r="K37" s="21"/>
      <c r="L37" s="26"/>
      <c r="M37" s="42" t="s">
        <v>11</v>
      </c>
      <c r="N37" s="51"/>
      <c r="O37" s="193"/>
      <c r="P37" s="186"/>
      <c r="Q37" s="204"/>
      <c r="R37" s="172"/>
    </row>
    <row r="38" spans="1:18" ht="24" customHeight="1">
      <c r="A38" s="223" t="s">
        <v>117</v>
      </c>
      <c r="B38" s="224"/>
      <c r="C38" s="225"/>
      <c r="D38" s="3"/>
      <c r="E38" s="4"/>
      <c r="F38" s="4"/>
      <c r="G38" s="4"/>
      <c r="H38" s="4"/>
      <c r="I38" s="21"/>
      <c r="J38" s="27" t="s">
        <v>11</v>
      </c>
      <c r="K38" s="21"/>
      <c r="L38" s="26"/>
      <c r="M38" s="42" t="s">
        <v>11</v>
      </c>
      <c r="N38" s="49"/>
      <c r="O38" s="185"/>
      <c r="P38" s="186"/>
      <c r="Q38" s="204"/>
      <c r="R38" s="172"/>
    </row>
    <row r="39" spans="1:18" ht="7.5" customHeight="1">
      <c r="A39" s="141"/>
      <c r="B39" s="143"/>
      <c r="C39" s="142"/>
      <c r="D39" s="3"/>
      <c r="E39" s="4"/>
      <c r="F39" s="4"/>
      <c r="G39" s="4"/>
      <c r="H39" s="4"/>
      <c r="I39" s="21"/>
      <c r="J39" s="27"/>
      <c r="K39" s="21"/>
      <c r="L39" s="26"/>
      <c r="M39" s="42"/>
      <c r="N39" s="49"/>
      <c r="O39" s="185"/>
      <c r="P39" s="186"/>
      <c r="Q39" s="204"/>
      <c r="R39" s="172"/>
    </row>
    <row r="40" spans="1:18" ht="12.75">
      <c r="A40" s="3" t="s">
        <v>12</v>
      </c>
      <c r="B40" s="4"/>
      <c r="C40" s="4"/>
      <c r="D40" s="3">
        <v>10</v>
      </c>
      <c r="E40" s="4">
        <v>10</v>
      </c>
      <c r="F40" s="4">
        <v>11.25</v>
      </c>
      <c r="G40" s="4"/>
      <c r="H40" s="4">
        <v>0</v>
      </c>
      <c r="I40" s="21">
        <v>10</v>
      </c>
      <c r="J40" s="27">
        <f>+I40*1.047</f>
        <v>10.469999999999999</v>
      </c>
      <c r="K40" s="40">
        <f>+I40</f>
        <v>10</v>
      </c>
      <c r="L40" s="27">
        <f>+J40</f>
        <v>10.469999999999999</v>
      </c>
      <c r="M40" s="42">
        <f>+K40*1.031</f>
        <v>10.309999999999999</v>
      </c>
      <c r="N40" s="49">
        <v>10</v>
      </c>
      <c r="O40" s="193">
        <f>N40+(N40*2.2%)</f>
        <v>10.22</v>
      </c>
      <c r="P40" s="203">
        <f>O40+(O40*$P$28)</f>
        <v>10.38352</v>
      </c>
      <c r="Q40" s="204">
        <f t="shared" si="2"/>
        <v>10.570423360000001</v>
      </c>
      <c r="R40" s="177">
        <f>Q40+(Q40*R28)</f>
        <v>10.759633938144</v>
      </c>
    </row>
    <row r="41" spans="1:18" ht="12.75">
      <c r="A41" s="11" t="s">
        <v>13</v>
      </c>
      <c r="B41" s="10"/>
      <c r="C41" s="10"/>
      <c r="D41" s="11">
        <v>79</v>
      </c>
      <c r="E41" s="10">
        <v>96</v>
      </c>
      <c r="F41" s="10">
        <v>79.5</v>
      </c>
      <c r="G41" s="10">
        <v>83</v>
      </c>
      <c r="H41" s="10">
        <v>108</v>
      </c>
      <c r="I41" s="22">
        <v>90</v>
      </c>
      <c r="J41" s="28">
        <f>+J23</f>
        <v>94.23</v>
      </c>
      <c r="K41" s="39">
        <f>+K23</f>
        <v>99</v>
      </c>
      <c r="L41" s="28">
        <f>+L23</f>
        <v>104</v>
      </c>
      <c r="M41" s="42">
        <f>+K41*1.031</f>
        <v>102.06899999999999</v>
      </c>
      <c r="N41" s="50">
        <v>104</v>
      </c>
      <c r="O41" s="193">
        <f>N41+(N41*2.9%)</f>
        <v>107.016</v>
      </c>
      <c r="P41" s="203">
        <f>O41+(O41*$P$28)</f>
        <v>108.728256</v>
      </c>
      <c r="Q41" s="204">
        <f t="shared" si="2"/>
        <v>110.685364608</v>
      </c>
      <c r="R41" s="177">
        <f>Q41+(Q41*R28)</f>
        <v>112.66663263448321</v>
      </c>
    </row>
    <row r="42" spans="1:18" ht="12.75">
      <c r="A42" s="3"/>
      <c r="B42" s="4"/>
      <c r="C42" s="4"/>
      <c r="D42" s="3"/>
      <c r="E42" s="4"/>
      <c r="F42" s="4"/>
      <c r="G42" s="4"/>
      <c r="H42" s="4"/>
      <c r="I42" s="21"/>
      <c r="J42" s="27" t="s">
        <v>11</v>
      </c>
      <c r="K42" s="21"/>
      <c r="L42" s="25"/>
      <c r="M42" s="43" t="s">
        <v>11</v>
      </c>
      <c r="N42" s="51"/>
      <c r="O42" s="193"/>
      <c r="P42" s="186"/>
      <c r="Q42" s="204"/>
      <c r="R42" s="172"/>
    </row>
    <row r="43" spans="1:18" ht="12.75">
      <c r="A43" s="5" t="s">
        <v>10</v>
      </c>
      <c r="B43" s="4"/>
      <c r="C43" s="4" t="s">
        <v>143</v>
      </c>
      <c r="D43" s="3"/>
      <c r="E43" s="4"/>
      <c r="F43" s="4"/>
      <c r="G43" s="4"/>
      <c r="H43" s="4"/>
      <c r="I43" s="21"/>
      <c r="J43" s="27" t="s">
        <v>11</v>
      </c>
      <c r="K43" s="21"/>
      <c r="L43" s="25"/>
      <c r="M43" s="42" t="s">
        <v>11</v>
      </c>
      <c r="N43" s="49"/>
      <c r="O43" s="185"/>
      <c r="P43" s="186"/>
      <c r="Q43" s="204"/>
      <c r="R43" s="172"/>
    </row>
    <row r="44" spans="1:18" ht="12.75">
      <c r="A44" s="8" t="s">
        <v>21</v>
      </c>
      <c r="B44" s="4"/>
      <c r="C44" s="4"/>
      <c r="D44" s="3"/>
      <c r="E44" s="7"/>
      <c r="F44" s="4"/>
      <c r="G44" s="4"/>
      <c r="H44" s="4"/>
      <c r="I44" s="21"/>
      <c r="J44" s="27" t="s">
        <v>11</v>
      </c>
      <c r="K44" s="21"/>
      <c r="L44" s="25"/>
      <c r="M44" s="42" t="s">
        <v>11</v>
      </c>
      <c r="N44" s="49"/>
      <c r="O44" s="185"/>
      <c r="P44" s="186"/>
      <c r="Q44" s="204"/>
      <c r="R44" s="172"/>
    </row>
    <row r="45" spans="1:18" ht="12.75">
      <c r="A45" s="3" t="s">
        <v>14</v>
      </c>
      <c r="B45" s="4"/>
      <c r="C45" s="4"/>
      <c r="D45" s="3">
        <v>5</v>
      </c>
      <c r="E45" s="4"/>
      <c r="F45" s="4">
        <v>3.75</v>
      </c>
      <c r="G45" s="4">
        <v>11</v>
      </c>
      <c r="H45" s="4"/>
      <c r="I45" s="21">
        <v>5</v>
      </c>
      <c r="J45" s="27">
        <f>+I45*1.047</f>
        <v>5.234999999999999</v>
      </c>
      <c r="K45" s="37">
        <v>5</v>
      </c>
      <c r="L45" s="32">
        <v>6</v>
      </c>
      <c r="M45" s="42">
        <f>+K45*1.031</f>
        <v>5.154999999999999</v>
      </c>
      <c r="N45" s="49">
        <v>6</v>
      </c>
      <c r="O45" s="193">
        <f>N45+(N45*2.9%)</f>
        <v>6.174</v>
      </c>
      <c r="P45" s="203">
        <f>O45+(O45*$P$28)</f>
        <v>6.272784000000001</v>
      </c>
      <c r="Q45" s="204">
        <f t="shared" si="2"/>
        <v>6.385694112</v>
      </c>
      <c r="R45" s="177">
        <f>Q45+(Q45*R28)</f>
        <v>6.499998036604801</v>
      </c>
    </row>
    <row r="46" spans="1:18" ht="12.75">
      <c r="A46" s="3" t="s">
        <v>0</v>
      </c>
      <c r="B46" s="4"/>
      <c r="C46" s="4"/>
      <c r="D46" s="3">
        <v>38</v>
      </c>
      <c r="E46" s="4"/>
      <c r="F46" s="4">
        <v>32.5</v>
      </c>
      <c r="G46" s="4">
        <v>36</v>
      </c>
      <c r="H46" s="4"/>
      <c r="I46" s="21">
        <v>41</v>
      </c>
      <c r="J46" s="27">
        <f>+I46*1.047</f>
        <v>42.927</v>
      </c>
      <c r="K46" s="37">
        <v>47</v>
      </c>
      <c r="L46" s="32">
        <v>47</v>
      </c>
      <c r="M46" s="42">
        <f>+K46*1.031</f>
        <v>48.456999999999994</v>
      </c>
      <c r="N46" s="49">
        <v>46</v>
      </c>
      <c r="O46" s="193">
        <f>N46+(N46*2.9%)</f>
        <v>47.334</v>
      </c>
      <c r="P46" s="203">
        <f>O46+(O46*$P$28)</f>
        <v>48.09134400000001</v>
      </c>
      <c r="Q46" s="204">
        <f t="shared" si="2"/>
        <v>48.956988192000004</v>
      </c>
      <c r="R46" s="177">
        <f>Q46+(Q46*R28)</f>
        <v>49.8333182806368</v>
      </c>
    </row>
    <row r="47" spans="1:18" ht="12.75">
      <c r="A47" s="3" t="s">
        <v>1</v>
      </c>
      <c r="B47" s="4"/>
      <c r="C47" s="4"/>
      <c r="D47" s="3">
        <v>8</v>
      </c>
      <c r="E47" s="4"/>
      <c r="F47" s="4">
        <v>6</v>
      </c>
      <c r="G47" s="4">
        <v>12</v>
      </c>
      <c r="H47" s="4"/>
      <c r="I47" s="21">
        <v>8</v>
      </c>
      <c r="J47" s="27">
        <f>+I47*1.047</f>
        <v>8.376</v>
      </c>
      <c r="K47" s="37">
        <v>9</v>
      </c>
      <c r="L47" s="32">
        <v>9</v>
      </c>
      <c r="M47" s="42">
        <f>+K47*1.031</f>
        <v>9.279</v>
      </c>
      <c r="N47" s="49">
        <v>10</v>
      </c>
      <c r="O47" s="193">
        <f>N47+(N47*2.9%)</f>
        <v>10.29</v>
      </c>
      <c r="P47" s="203">
        <f>O47+(O47*$P$28)</f>
        <v>10.45464</v>
      </c>
      <c r="Q47" s="204">
        <v>10</v>
      </c>
      <c r="R47" s="177">
        <v>11</v>
      </c>
    </row>
    <row r="48" spans="1:18" ht="12.75">
      <c r="A48" s="3" t="s">
        <v>15</v>
      </c>
      <c r="B48" s="4"/>
      <c r="C48" s="4"/>
      <c r="D48" s="3">
        <v>5</v>
      </c>
      <c r="E48" s="4"/>
      <c r="F48" s="4">
        <v>3.75</v>
      </c>
      <c r="G48" s="4">
        <v>11</v>
      </c>
      <c r="H48" s="4"/>
      <c r="I48" s="21">
        <v>5</v>
      </c>
      <c r="J48" s="27">
        <f>+I48*1.047</f>
        <v>5.234999999999999</v>
      </c>
      <c r="K48" s="37">
        <v>5</v>
      </c>
      <c r="L48" s="32">
        <v>6</v>
      </c>
      <c r="M48" s="42">
        <f>+K48*1.031</f>
        <v>5.154999999999999</v>
      </c>
      <c r="N48" s="49">
        <v>6</v>
      </c>
      <c r="O48" s="193">
        <f>N48+(N48*2.9%)</f>
        <v>6.174</v>
      </c>
      <c r="P48" s="189">
        <f>O48+(O48*$P$28)</f>
        <v>6.272784000000001</v>
      </c>
      <c r="Q48" s="204">
        <f t="shared" si="2"/>
        <v>6.385694112</v>
      </c>
      <c r="R48" s="177">
        <v>6</v>
      </c>
    </row>
    <row r="49" spans="1:18" ht="12.75">
      <c r="A49" s="3"/>
      <c r="B49" s="4"/>
      <c r="C49" s="4"/>
      <c r="D49" s="3"/>
      <c r="E49" s="4"/>
      <c r="F49" s="4"/>
      <c r="G49" s="4"/>
      <c r="H49" s="4"/>
      <c r="I49" s="21"/>
      <c r="J49" s="27" t="s">
        <v>11</v>
      </c>
      <c r="K49" s="21"/>
      <c r="L49" s="25"/>
      <c r="M49" s="42" t="s">
        <v>11</v>
      </c>
      <c r="N49" s="49"/>
      <c r="O49" s="185"/>
      <c r="P49" s="191"/>
      <c r="Q49" s="187"/>
      <c r="R49" s="172"/>
    </row>
    <row r="50" spans="1:18" ht="12.75">
      <c r="A50" s="11" t="s">
        <v>16</v>
      </c>
      <c r="B50" s="10"/>
      <c r="C50" s="10" t="s">
        <v>144</v>
      </c>
      <c r="D50" s="11">
        <f>SUM(D45:D48)</f>
        <v>56</v>
      </c>
      <c r="E50" s="55">
        <v>68</v>
      </c>
      <c r="F50" s="10">
        <f>SUM(F45:F48)</f>
        <v>46</v>
      </c>
      <c r="G50" s="10">
        <f>SUM(G45:G48)</f>
        <v>70</v>
      </c>
      <c r="H50" s="10">
        <v>82</v>
      </c>
      <c r="I50" s="22">
        <f>SUM(I45:I48)</f>
        <v>59</v>
      </c>
      <c r="J50" s="56">
        <v>61</v>
      </c>
      <c r="K50" s="22">
        <f>SUM(K45:K48)</f>
        <v>66</v>
      </c>
      <c r="L50" s="56">
        <f>SUM(L45:L48)</f>
        <v>68</v>
      </c>
      <c r="M50" s="44">
        <f>+K50*1.031</f>
        <v>68.04599999999999</v>
      </c>
      <c r="N50" s="50">
        <v>68</v>
      </c>
      <c r="O50" s="193">
        <f>N50+(N50*2.2%)</f>
        <v>69.496</v>
      </c>
      <c r="P50" s="186">
        <v>70</v>
      </c>
      <c r="Q50" s="205">
        <f>SUM(Q45:Q48)</f>
        <v>71.728376416</v>
      </c>
      <c r="R50" s="177">
        <f>SUM(R45:R48)</f>
        <v>73.33331631724161</v>
      </c>
    </row>
    <row r="51" spans="1:18" ht="12.75">
      <c r="A51" s="3"/>
      <c r="B51" s="4"/>
      <c r="C51" s="4"/>
      <c r="D51" s="3"/>
      <c r="E51" s="4"/>
      <c r="F51" s="4"/>
      <c r="G51" s="4"/>
      <c r="H51" s="4"/>
      <c r="I51" s="21"/>
      <c r="J51" s="27" t="s">
        <v>11</v>
      </c>
      <c r="K51" s="21"/>
      <c r="L51" s="25"/>
      <c r="M51" s="42" t="s">
        <v>11</v>
      </c>
      <c r="N51" s="49"/>
      <c r="O51" s="193"/>
      <c r="P51" s="206"/>
      <c r="Q51" s="187"/>
      <c r="R51" s="172"/>
    </row>
    <row r="52" spans="1:18" ht="12.75">
      <c r="A52" s="3"/>
      <c r="B52" s="4"/>
      <c r="C52" s="4"/>
      <c r="D52" s="3"/>
      <c r="E52" s="4"/>
      <c r="F52" s="4"/>
      <c r="G52" s="4"/>
      <c r="H52" s="4"/>
      <c r="I52" s="21"/>
      <c r="J52" s="27" t="s">
        <v>11</v>
      </c>
      <c r="K52" s="21"/>
      <c r="L52" s="25"/>
      <c r="M52" s="42" t="s">
        <v>11</v>
      </c>
      <c r="N52" s="49"/>
      <c r="O52" s="185" t="s">
        <v>41</v>
      </c>
      <c r="P52" s="183">
        <v>0.016</v>
      </c>
      <c r="Q52" s="195">
        <v>0.018</v>
      </c>
      <c r="R52" s="172"/>
    </row>
    <row r="53" ht="11.25" customHeight="1"/>
    <row r="54" spans="1:2" ht="12.75">
      <c r="A54" t="s">
        <v>46</v>
      </c>
      <c r="B54" s="35" t="s">
        <v>148</v>
      </c>
    </row>
    <row r="55" ht="12.75">
      <c r="B55" s="35" t="s">
        <v>147</v>
      </c>
    </row>
    <row r="56" spans="1:2" ht="12.75">
      <c r="A56" t="s">
        <v>47</v>
      </c>
      <c r="B56" t="s">
        <v>70</v>
      </c>
    </row>
    <row r="57" ht="12.75">
      <c r="B57" t="s">
        <v>71</v>
      </c>
    </row>
    <row r="58" ht="12.75">
      <c r="B58" t="s">
        <v>72</v>
      </c>
    </row>
    <row r="59" ht="12.75">
      <c r="B59" t="s">
        <v>73</v>
      </c>
    </row>
    <row r="61" spans="1:2" ht="12.75">
      <c r="A61" t="s">
        <v>61</v>
      </c>
      <c r="B61" s="35" t="s">
        <v>108</v>
      </c>
    </row>
    <row r="62" ht="12.75">
      <c r="B62" t="s">
        <v>43</v>
      </c>
    </row>
    <row r="63" ht="12.75">
      <c r="B63" t="s">
        <v>44</v>
      </c>
    </row>
    <row r="64" ht="12.75">
      <c r="B64" t="s">
        <v>45</v>
      </c>
    </row>
    <row r="65" ht="12.75">
      <c r="B65" t="s">
        <v>75</v>
      </c>
    </row>
    <row r="67" spans="1:2" ht="12.75">
      <c r="A67" t="s">
        <v>59</v>
      </c>
      <c r="B67" s="35" t="s">
        <v>109</v>
      </c>
    </row>
    <row r="69" spans="1:2" ht="12.75">
      <c r="A69" t="s">
        <v>68</v>
      </c>
      <c r="B69" t="s">
        <v>116</v>
      </c>
    </row>
    <row r="70" ht="12.75">
      <c r="B70" t="s">
        <v>64</v>
      </c>
    </row>
    <row r="71" ht="12.75">
      <c r="B71" t="s">
        <v>76</v>
      </c>
    </row>
    <row r="72" spans="2:15" ht="12.75">
      <c r="B72" t="s">
        <v>48</v>
      </c>
      <c r="C72" t="s">
        <v>62</v>
      </c>
      <c r="N72" t="s">
        <v>49</v>
      </c>
      <c r="O72" t="s">
        <v>50</v>
      </c>
    </row>
    <row r="73" spans="2:15" ht="12.75">
      <c r="B73" t="s">
        <v>51</v>
      </c>
      <c r="C73" t="s">
        <v>52</v>
      </c>
      <c r="N73" t="s">
        <v>53</v>
      </c>
      <c r="O73" t="s">
        <v>54</v>
      </c>
    </row>
    <row r="74" spans="2:15" ht="12.75">
      <c r="B74" t="s">
        <v>55</v>
      </c>
      <c r="C74" t="s">
        <v>56</v>
      </c>
      <c r="N74" t="s">
        <v>57</v>
      </c>
      <c r="O74" t="s">
        <v>54</v>
      </c>
    </row>
    <row r="75" ht="12.75">
      <c r="B75" t="s">
        <v>63</v>
      </c>
    </row>
    <row r="76" ht="12.75">
      <c r="B76" s="35" t="s">
        <v>110</v>
      </c>
    </row>
    <row r="78" spans="1:2" ht="12.75">
      <c r="A78" t="s">
        <v>69</v>
      </c>
      <c r="B78" s="35" t="s">
        <v>127</v>
      </c>
    </row>
    <row r="79" ht="12.75">
      <c r="B79" s="35" t="s">
        <v>146</v>
      </c>
    </row>
    <row r="80" ht="12.75">
      <c r="A80" s="35" t="s">
        <v>125</v>
      </c>
    </row>
  </sheetData>
  <sheetProtection/>
  <mergeCells count="3">
    <mergeCell ref="P4:P5"/>
    <mergeCell ref="A1:Q1"/>
    <mergeCell ref="A38:C38"/>
  </mergeCells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Footer>&amp;Ldoknr. 1032941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PageLayoutView="0" workbookViewId="0" topLeftCell="A1">
      <selection activeCell="Q45" sqref="Q45"/>
    </sheetView>
  </sheetViews>
  <sheetFormatPr defaultColWidth="9.140625" defaultRowHeight="12.75"/>
  <cols>
    <col min="3" max="3" width="22.28125" style="0" customWidth="1"/>
    <col min="4" max="10" width="0" style="0" hidden="1" customWidth="1"/>
    <col min="20" max="20" width="11.28125" style="0" bestFit="1" customWidth="1"/>
    <col min="21" max="21" width="10.57421875" style="0" customWidth="1"/>
  </cols>
  <sheetData>
    <row r="1" spans="1:21" ht="16.5" thickBot="1">
      <c r="A1" s="226" t="s">
        <v>77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7"/>
      <c r="U1" s="227"/>
    </row>
    <row r="2" spans="1:24" ht="16.5" thickBot="1">
      <c r="A2" s="57"/>
      <c r="B2" s="58"/>
      <c r="C2" s="59"/>
      <c r="D2" s="228" t="s">
        <v>78</v>
      </c>
      <c r="E2" s="228"/>
      <c r="F2" s="228"/>
      <c r="G2" s="229"/>
      <c r="H2" s="230" t="s">
        <v>79</v>
      </c>
      <c r="I2" s="231"/>
      <c r="J2" s="231"/>
      <c r="K2" s="230" t="s">
        <v>80</v>
      </c>
      <c r="L2" s="231"/>
      <c r="M2" s="232"/>
      <c r="N2" s="230" t="s">
        <v>107</v>
      </c>
      <c r="O2" s="231"/>
      <c r="P2" s="232"/>
      <c r="Q2" s="252" t="s">
        <v>111</v>
      </c>
      <c r="R2" s="253"/>
      <c r="S2" s="253"/>
      <c r="T2" s="247" t="s">
        <v>120</v>
      </c>
      <c r="U2" s="248"/>
      <c r="V2" s="249"/>
      <c r="W2" s="233" t="s">
        <v>81</v>
      </c>
      <c r="X2" s="234"/>
    </row>
    <row r="3" spans="1:24" ht="13.5" thickBot="1">
      <c r="A3" s="60"/>
      <c r="B3" s="61"/>
      <c r="C3" s="62"/>
      <c r="D3" s="63" t="s">
        <v>82</v>
      </c>
      <c r="E3" s="63" t="s">
        <v>83</v>
      </c>
      <c r="F3" s="63" t="s">
        <v>84</v>
      </c>
      <c r="G3" s="64" t="s">
        <v>85</v>
      </c>
      <c r="H3" s="65" t="s">
        <v>83</v>
      </c>
      <c r="I3" s="66" t="s">
        <v>84</v>
      </c>
      <c r="J3" s="66" t="s">
        <v>85</v>
      </c>
      <c r="K3" s="65" t="s">
        <v>83</v>
      </c>
      <c r="L3" s="66" t="s">
        <v>84</v>
      </c>
      <c r="M3" s="66"/>
      <c r="N3" s="65" t="s">
        <v>83</v>
      </c>
      <c r="O3" s="66" t="s">
        <v>84</v>
      </c>
      <c r="P3" s="136"/>
      <c r="Q3" s="164" t="s">
        <v>83</v>
      </c>
      <c r="R3" s="165" t="s">
        <v>113</v>
      </c>
      <c r="S3" s="165"/>
      <c r="T3" s="148" t="s">
        <v>121</v>
      </c>
      <c r="U3" s="149" t="s">
        <v>122</v>
      </c>
      <c r="V3" s="150"/>
      <c r="W3" s="4"/>
      <c r="X3" s="67"/>
    </row>
    <row r="4" spans="1:24" ht="13.5" thickBot="1">
      <c r="A4" s="68" t="s">
        <v>86</v>
      </c>
      <c r="B4" s="69"/>
      <c r="C4" s="70"/>
      <c r="D4" s="71"/>
      <c r="E4" s="71"/>
      <c r="F4" s="71"/>
      <c r="G4" s="71"/>
      <c r="H4" s="72"/>
      <c r="I4" s="73"/>
      <c r="J4" s="73"/>
      <c r="K4" s="72"/>
      <c r="L4" s="73"/>
      <c r="M4" s="73"/>
      <c r="N4" s="72"/>
      <c r="O4" s="73"/>
      <c r="P4" s="137"/>
      <c r="Q4" s="166"/>
      <c r="R4" s="166"/>
      <c r="S4" s="166"/>
      <c r="T4" s="151"/>
      <c r="U4" s="152"/>
      <c r="V4" s="153"/>
      <c r="W4" s="4"/>
      <c r="X4" s="67"/>
    </row>
    <row r="5" spans="1:24" ht="13.5" thickBot="1">
      <c r="A5" s="68" t="s">
        <v>130</v>
      </c>
      <c r="B5" s="69"/>
      <c r="C5" s="70"/>
      <c r="D5" s="71"/>
      <c r="E5" s="71"/>
      <c r="F5" s="71"/>
      <c r="G5" s="71"/>
      <c r="H5" s="74" t="s">
        <v>87</v>
      </c>
      <c r="I5" s="75"/>
      <c r="J5" s="76">
        <v>0.019</v>
      </c>
      <c r="K5" s="74" t="s">
        <v>87</v>
      </c>
      <c r="L5" s="75"/>
      <c r="M5" s="76">
        <v>0.029</v>
      </c>
      <c r="N5" s="74" t="s">
        <v>87</v>
      </c>
      <c r="O5" s="75"/>
      <c r="P5" s="138">
        <v>0.016</v>
      </c>
      <c r="Q5" s="167" t="s">
        <v>112</v>
      </c>
      <c r="R5" s="168"/>
      <c r="S5" s="218">
        <v>0.018</v>
      </c>
      <c r="T5" s="250" t="s">
        <v>133</v>
      </c>
      <c r="U5" s="251"/>
      <c r="V5" s="154">
        <v>0.0179</v>
      </c>
      <c r="W5" s="4">
        <v>1.79</v>
      </c>
      <c r="X5" s="67"/>
    </row>
    <row r="6" spans="1:24" ht="12.75">
      <c r="A6" s="77" t="s">
        <v>88</v>
      </c>
      <c r="B6" s="78"/>
      <c r="C6" s="79"/>
      <c r="D6" s="80"/>
      <c r="E6" s="81"/>
      <c r="F6" s="82"/>
      <c r="G6" s="83"/>
      <c r="H6" s="84"/>
      <c r="I6" s="85"/>
      <c r="J6" s="85"/>
      <c r="K6" s="84"/>
      <c r="L6" s="85"/>
      <c r="M6" s="85"/>
      <c r="N6" s="84"/>
      <c r="O6" s="85"/>
      <c r="P6" s="85"/>
      <c r="Q6" s="217"/>
      <c r="R6" s="217"/>
      <c r="S6" s="217"/>
      <c r="T6" s="208"/>
      <c r="U6" s="155"/>
      <c r="V6" s="156"/>
      <c r="W6" s="4"/>
      <c r="X6" s="67"/>
    </row>
    <row r="7" spans="1:26" ht="12.75" customHeight="1">
      <c r="A7" s="86" t="s">
        <v>89</v>
      </c>
      <c r="B7" s="69"/>
      <c r="C7" s="70"/>
      <c r="D7" s="87" t="s">
        <v>11</v>
      </c>
      <c r="E7" s="88">
        <v>65</v>
      </c>
      <c r="F7" s="89">
        <v>1943</v>
      </c>
      <c r="G7" s="90" t="s">
        <v>11</v>
      </c>
      <c r="H7" s="91">
        <f>E7+(E7*$J$5)</f>
        <v>66.235</v>
      </c>
      <c r="I7" s="92">
        <f>F7+(F7*$J$5)</f>
        <v>1979.917</v>
      </c>
      <c r="J7" s="93" t="s">
        <v>11</v>
      </c>
      <c r="K7" s="91">
        <f>H7+(H7*$M$5)</f>
        <v>68.155815</v>
      </c>
      <c r="L7" s="92">
        <f>K7*366/12</f>
        <v>2078.7523575</v>
      </c>
      <c r="M7" s="93" t="s">
        <v>11</v>
      </c>
      <c r="N7" s="91">
        <v>76</v>
      </c>
      <c r="O7" s="92">
        <f>N7*365/12</f>
        <v>2311.6666666666665</v>
      </c>
      <c r="P7" s="93" t="s">
        <v>11</v>
      </c>
      <c r="Q7" s="211">
        <f>N7+(N7*1.8%)</f>
        <v>77.368</v>
      </c>
      <c r="R7" s="211">
        <f>Q7*365/12</f>
        <v>2353.2766666666666</v>
      </c>
      <c r="S7" s="211"/>
      <c r="T7" s="159">
        <f>Q7+(Q7*V5)</f>
        <v>78.75288719999999</v>
      </c>
      <c r="U7" s="157">
        <f>T7*365/12</f>
        <v>2395.400319</v>
      </c>
      <c r="V7" s="156"/>
      <c r="W7" s="254" t="s">
        <v>114</v>
      </c>
      <c r="X7" s="255"/>
      <c r="Z7" s="147"/>
    </row>
    <row r="8" spans="1:24" ht="12.75">
      <c r="A8" s="86"/>
      <c r="B8" s="69"/>
      <c r="C8" s="70"/>
      <c r="D8" s="87" t="s">
        <v>11</v>
      </c>
      <c r="E8" s="88" t="s">
        <v>11</v>
      </c>
      <c r="F8" s="89" t="s">
        <v>11</v>
      </c>
      <c r="G8" s="90" t="s">
        <v>11</v>
      </c>
      <c r="H8" s="91" t="s">
        <v>11</v>
      </c>
      <c r="I8" s="94" t="s">
        <v>11</v>
      </c>
      <c r="J8" s="93" t="s">
        <v>11</v>
      </c>
      <c r="K8" s="91" t="s">
        <v>11</v>
      </c>
      <c r="L8" s="94" t="s">
        <v>11</v>
      </c>
      <c r="M8" s="93" t="s">
        <v>11</v>
      </c>
      <c r="N8" s="91" t="s">
        <v>11</v>
      </c>
      <c r="O8" s="94" t="s">
        <v>11</v>
      </c>
      <c r="P8" s="93" t="s">
        <v>11</v>
      </c>
      <c r="Q8" s="211"/>
      <c r="R8" s="211"/>
      <c r="S8" s="211"/>
      <c r="T8" s="209"/>
      <c r="U8" s="207"/>
      <c r="V8" s="156"/>
      <c r="W8" s="256"/>
      <c r="X8" s="255"/>
    </row>
    <row r="9" spans="1:24" ht="12.75">
      <c r="A9" s="68" t="s">
        <v>90</v>
      </c>
      <c r="B9" s="69"/>
      <c r="C9" s="70"/>
      <c r="D9" s="87" t="s">
        <v>11</v>
      </c>
      <c r="E9" s="88" t="s">
        <v>11</v>
      </c>
      <c r="F9" s="89" t="s">
        <v>11</v>
      </c>
      <c r="G9" s="90" t="s">
        <v>11</v>
      </c>
      <c r="H9" s="91" t="s">
        <v>11</v>
      </c>
      <c r="I9" s="94" t="s">
        <v>11</v>
      </c>
      <c r="J9" s="93" t="s">
        <v>11</v>
      </c>
      <c r="K9" s="91" t="s">
        <v>11</v>
      </c>
      <c r="L9" s="94" t="s">
        <v>11</v>
      </c>
      <c r="M9" s="93" t="s">
        <v>11</v>
      </c>
      <c r="N9" s="91" t="s">
        <v>11</v>
      </c>
      <c r="O9" s="94" t="s">
        <v>11</v>
      </c>
      <c r="P9" s="93" t="s">
        <v>11</v>
      </c>
      <c r="Q9" s="211"/>
      <c r="R9" s="211"/>
      <c r="S9" s="211"/>
      <c r="T9" s="159"/>
      <c r="U9" s="157"/>
      <c r="V9" s="156"/>
      <c r="W9" s="256"/>
      <c r="X9" s="255"/>
    </row>
    <row r="10" spans="1:24" ht="12.75">
      <c r="A10" s="86" t="s">
        <v>91</v>
      </c>
      <c r="B10" s="69"/>
      <c r="C10" s="70"/>
      <c r="D10" s="87" t="s">
        <v>11</v>
      </c>
      <c r="E10" s="88">
        <v>15</v>
      </c>
      <c r="F10" s="89">
        <v>464</v>
      </c>
      <c r="G10" s="90" t="s">
        <v>11</v>
      </c>
      <c r="H10" s="91">
        <f aca="true" t="shared" si="0" ref="H10:I12">E10+(E10*$J$5)</f>
        <v>15.285</v>
      </c>
      <c r="I10" s="92">
        <f t="shared" si="0"/>
        <v>472.816</v>
      </c>
      <c r="J10" s="93" t="s">
        <v>11</v>
      </c>
      <c r="K10" s="91">
        <v>15</v>
      </c>
      <c r="L10" s="92">
        <f>K10*366/12</f>
        <v>457.5</v>
      </c>
      <c r="M10" s="93" t="s">
        <v>11</v>
      </c>
      <c r="N10" s="91">
        <f>K10+(K10*$P$5)</f>
        <v>15.24</v>
      </c>
      <c r="O10" s="92">
        <f>N10*365/12</f>
        <v>463.55</v>
      </c>
      <c r="P10" s="93" t="s">
        <v>11</v>
      </c>
      <c r="Q10" s="211">
        <f>N10+(N10*1.8%)</f>
        <v>15.51432</v>
      </c>
      <c r="R10" s="211">
        <f>Q10*365/12</f>
        <v>471.8939</v>
      </c>
      <c r="S10" s="211"/>
      <c r="T10" s="159">
        <f>Q10+(Q10*1.79%)</f>
        <v>15.792026328</v>
      </c>
      <c r="U10" s="157">
        <f>T10*365/12</f>
        <v>480.34080081</v>
      </c>
      <c r="V10" s="156"/>
      <c r="W10" s="256"/>
      <c r="X10" s="255"/>
    </row>
    <row r="11" spans="1:24" ht="12.75">
      <c r="A11" s="86" t="s">
        <v>92</v>
      </c>
      <c r="B11" s="69"/>
      <c r="C11" s="70"/>
      <c r="D11" s="87" t="s">
        <v>11</v>
      </c>
      <c r="E11" s="88">
        <v>30</v>
      </c>
      <c r="F11" s="89">
        <v>897</v>
      </c>
      <c r="G11" s="90" t="s">
        <v>11</v>
      </c>
      <c r="H11" s="91">
        <f t="shared" si="0"/>
        <v>30.57</v>
      </c>
      <c r="I11" s="92">
        <f t="shared" si="0"/>
        <v>914.043</v>
      </c>
      <c r="J11" s="93" t="s">
        <v>11</v>
      </c>
      <c r="K11" s="91">
        <v>32</v>
      </c>
      <c r="L11" s="92">
        <f>K11*366/12</f>
        <v>976</v>
      </c>
      <c r="M11" s="93" t="s">
        <v>11</v>
      </c>
      <c r="N11" s="91">
        <f>K11+(K11*$P$5)</f>
        <v>32.512</v>
      </c>
      <c r="O11" s="92">
        <f>N11*365/12</f>
        <v>988.9066666666668</v>
      </c>
      <c r="P11" s="93" t="s">
        <v>11</v>
      </c>
      <c r="Q11" s="211">
        <f>N11+(N11*1.8%)</f>
        <v>33.097216</v>
      </c>
      <c r="R11" s="211">
        <f>Q11*365/12</f>
        <v>1006.7069866666667</v>
      </c>
      <c r="S11" s="211"/>
      <c r="T11" s="159">
        <f>Q11+(Q11*V5)</f>
        <v>33.689656166400006</v>
      </c>
      <c r="U11" s="157">
        <f>T11*365/12</f>
        <v>1024.7270417280001</v>
      </c>
      <c r="V11" s="156"/>
      <c r="W11" s="257"/>
      <c r="X11" s="258"/>
    </row>
    <row r="12" spans="1:24" ht="12.75">
      <c r="A12" s="86" t="s">
        <v>93</v>
      </c>
      <c r="B12" s="69" t="s">
        <v>0</v>
      </c>
      <c r="C12" s="70"/>
      <c r="D12" s="87" t="s">
        <v>11</v>
      </c>
      <c r="E12" s="88">
        <v>30</v>
      </c>
      <c r="F12" s="89">
        <v>897</v>
      </c>
      <c r="G12" s="90" t="s">
        <v>11</v>
      </c>
      <c r="H12" s="91">
        <f t="shared" si="0"/>
        <v>30.57</v>
      </c>
      <c r="I12" s="92">
        <f t="shared" si="0"/>
        <v>914.043</v>
      </c>
      <c r="J12" s="93" t="s">
        <v>11</v>
      </c>
      <c r="K12" s="91">
        <v>32</v>
      </c>
      <c r="L12" s="92">
        <f>K12*366/12</f>
        <v>976</v>
      </c>
      <c r="M12" s="93" t="s">
        <v>11</v>
      </c>
      <c r="N12" s="91">
        <f>K12+(K12*$P$5)</f>
        <v>32.512</v>
      </c>
      <c r="O12" s="92">
        <f>N12*365/12</f>
        <v>988.9066666666668</v>
      </c>
      <c r="P12" s="93" t="s">
        <v>11</v>
      </c>
      <c r="Q12" s="211">
        <f>N12+(N12*1.8%)</f>
        <v>33.097216</v>
      </c>
      <c r="R12" s="211">
        <f>Q12*365/12</f>
        <v>1006.7069866666667</v>
      </c>
      <c r="S12" s="211"/>
      <c r="T12" s="159">
        <f>Q12+(Q12*V5)</f>
        <v>33.689656166400006</v>
      </c>
      <c r="U12" s="157">
        <f>T12*365/12</f>
        <v>1024.7270417280001</v>
      </c>
      <c r="V12" s="156"/>
      <c r="W12" s="4"/>
      <c r="X12" s="67"/>
    </row>
    <row r="13" spans="1:24" ht="12.75">
      <c r="A13" s="86"/>
      <c r="B13" s="69" t="s">
        <v>1</v>
      </c>
      <c r="C13" s="70"/>
      <c r="D13" s="87" t="s">
        <v>11</v>
      </c>
      <c r="E13" s="88" t="s">
        <v>11</v>
      </c>
      <c r="F13" s="89" t="s">
        <v>11</v>
      </c>
      <c r="G13" s="90" t="s">
        <v>11</v>
      </c>
      <c r="H13" s="91" t="s">
        <v>11</v>
      </c>
      <c r="I13" s="94" t="s">
        <v>11</v>
      </c>
      <c r="J13" s="93" t="s">
        <v>11</v>
      </c>
      <c r="K13" s="91" t="s">
        <v>11</v>
      </c>
      <c r="L13" s="94" t="s">
        <v>11</v>
      </c>
      <c r="M13" s="93" t="s">
        <v>11</v>
      </c>
      <c r="N13" s="91" t="s">
        <v>11</v>
      </c>
      <c r="O13" s="94" t="s">
        <v>11</v>
      </c>
      <c r="P13" s="93" t="s">
        <v>11</v>
      </c>
      <c r="Q13" s="211"/>
      <c r="R13" s="211"/>
      <c r="S13" s="211"/>
      <c r="T13" s="159"/>
      <c r="U13" s="157"/>
      <c r="V13" s="156"/>
      <c r="W13" s="145"/>
      <c r="X13" s="67"/>
    </row>
    <row r="14" spans="1:24" ht="12.75">
      <c r="A14" s="86"/>
      <c r="B14" s="69"/>
      <c r="C14" s="70"/>
      <c r="D14" s="87" t="s">
        <v>11</v>
      </c>
      <c r="E14" s="88" t="s">
        <v>11</v>
      </c>
      <c r="F14" s="89" t="s">
        <v>11</v>
      </c>
      <c r="G14" s="90" t="s">
        <v>11</v>
      </c>
      <c r="H14" s="91" t="s">
        <v>11</v>
      </c>
      <c r="I14" s="94" t="s">
        <v>11</v>
      </c>
      <c r="J14" s="93" t="s">
        <v>11</v>
      </c>
      <c r="K14" s="91" t="s">
        <v>11</v>
      </c>
      <c r="L14" s="94" t="s">
        <v>11</v>
      </c>
      <c r="M14" s="93" t="s">
        <v>11</v>
      </c>
      <c r="N14" s="91" t="s">
        <v>11</v>
      </c>
      <c r="O14" s="94" t="s">
        <v>11</v>
      </c>
      <c r="P14" s="93" t="s">
        <v>11</v>
      </c>
      <c r="Q14" s="211"/>
      <c r="R14" s="211"/>
      <c r="S14" s="211"/>
      <c r="T14" s="159"/>
      <c r="U14" s="157"/>
      <c r="V14" s="156"/>
      <c r="W14" s="4"/>
      <c r="X14" s="67"/>
    </row>
    <row r="15" spans="1:24" ht="13.5" thickBot="1">
      <c r="A15" s="95" t="s">
        <v>94</v>
      </c>
      <c r="B15" s="96"/>
      <c r="C15" s="97"/>
      <c r="D15" s="98" t="s">
        <v>11</v>
      </c>
      <c r="E15" s="99">
        <v>75</v>
      </c>
      <c r="F15" s="100">
        <v>2258</v>
      </c>
      <c r="G15" s="101" t="s">
        <v>11</v>
      </c>
      <c r="H15" s="102">
        <v>77</v>
      </c>
      <c r="I15" s="103">
        <f>F15+(F15*$J$5)</f>
        <v>2300.902</v>
      </c>
      <c r="J15" s="104" t="s">
        <v>11</v>
      </c>
      <c r="K15" s="132">
        <f>H15+(H15*$M$5)</f>
        <v>79.233</v>
      </c>
      <c r="L15" s="133">
        <f>SUM(L10:L12)</f>
        <v>2409.5</v>
      </c>
      <c r="M15" s="104" t="s">
        <v>11</v>
      </c>
      <c r="N15" s="102">
        <f>K15+(K15*$P$5)</f>
        <v>80.50072800000001</v>
      </c>
      <c r="O15" s="133">
        <f>N15*365/12</f>
        <v>2448.56381</v>
      </c>
      <c r="P15" s="104" t="s">
        <v>11</v>
      </c>
      <c r="Q15" s="216">
        <v>82</v>
      </c>
      <c r="R15" s="216">
        <v>2480</v>
      </c>
      <c r="S15" s="216"/>
      <c r="T15" s="210">
        <f>SUM(T10:T14)+1</f>
        <v>84.17133866080002</v>
      </c>
      <c r="U15" s="158">
        <f>SUM(U10:U14)</f>
        <v>2529.7948842660003</v>
      </c>
      <c r="V15" s="156"/>
      <c r="W15" s="4"/>
      <c r="X15" s="67"/>
    </row>
    <row r="16" spans="1:24" ht="12.75">
      <c r="A16" s="105" t="s">
        <v>95</v>
      </c>
      <c r="B16" s="69"/>
      <c r="C16" s="69"/>
      <c r="D16" s="87" t="s">
        <v>11</v>
      </c>
      <c r="E16" s="87" t="s">
        <v>11</v>
      </c>
      <c r="F16" s="106" t="s">
        <v>11</v>
      </c>
      <c r="G16" s="87" t="s">
        <v>11</v>
      </c>
      <c r="H16" s="107"/>
      <c r="I16" s="108"/>
      <c r="J16" s="107"/>
      <c r="K16" s="107"/>
      <c r="L16" s="108"/>
      <c r="M16" s="107"/>
      <c r="N16" s="107"/>
      <c r="O16" s="108"/>
      <c r="P16" s="107"/>
      <c r="Q16" s="215"/>
      <c r="R16" s="215"/>
      <c r="S16" s="215"/>
      <c r="T16" s="159"/>
      <c r="U16" s="159"/>
      <c r="V16" s="156"/>
      <c r="W16" s="4"/>
      <c r="X16" s="67"/>
    </row>
    <row r="17" spans="1:24" ht="13.5" thickBot="1">
      <c r="A17" s="239" t="s">
        <v>129</v>
      </c>
      <c r="B17" s="240"/>
      <c r="C17" s="240"/>
      <c r="D17" s="240"/>
      <c r="E17" s="240"/>
      <c r="F17" s="240"/>
      <c r="G17" s="240"/>
      <c r="H17" s="107"/>
      <c r="I17" s="108"/>
      <c r="J17" s="107"/>
      <c r="K17" s="107"/>
      <c r="L17" s="108"/>
      <c r="M17" s="107"/>
      <c r="N17" s="107"/>
      <c r="O17" s="108"/>
      <c r="P17" s="107"/>
      <c r="Q17" s="214"/>
      <c r="R17" s="214"/>
      <c r="S17" s="214"/>
      <c r="T17" s="159"/>
      <c r="U17" s="159"/>
      <c r="V17" s="156"/>
      <c r="W17" s="4"/>
      <c r="X17" s="67"/>
    </row>
    <row r="18" spans="1:24" ht="12.75">
      <c r="A18" s="109"/>
      <c r="B18" s="78"/>
      <c r="C18" s="79"/>
      <c r="D18" s="110" t="s">
        <v>11</v>
      </c>
      <c r="E18" s="111" t="s">
        <v>11</v>
      </c>
      <c r="F18" s="112" t="s">
        <v>11</v>
      </c>
      <c r="G18" s="113" t="s">
        <v>11</v>
      </c>
      <c r="H18" s="114" t="s">
        <v>11</v>
      </c>
      <c r="I18" s="115" t="s">
        <v>11</v>
      </c>
      <c r="J18" s="116" t="s">
        <v>11</v>
      </c>
      <c r="K18" s="114" t="s">
        <v>11</v>
      </c>
      <c r="L18" s="115" t="s">
        <v>11</v>
      </c>
      <c r="M18" s="116" t="s">
        <v>11</v>
      </c>
      <c r="N18" s="114" t="s">
        <v>11</v>
      </c>
      <c r="O18" s="115" t="s">
        <v>11</v>
      </c>
      <c r="P18" s="116" t="s">
        <v>11</v>
      </c>
      <c r="Q18" s="213"/>
      <c r="R18" s="213"/>
      <c r="S18" s="213"/>
      <c r="T18" s="160"/>
      <c r="U18" s="160"/>
      <c r="V18" s="156"/>
      <c r="W18" s="235" t="s">
        <v>126</v>
      </c>
      <c r="X18" s="236"/>
    </row>
    <row r="19" spans="1:24" ht="12.75">
      <c r="A19" s="86" t="s">
        <v>96</v>
      </c>
      <c r="B19" s="69"/>
      <c r="C19" s="70"/>
      <c r="D19" s="117" t="s">
        <v>11</v>
      </c>
      <c r="E19" s="88">
        <v>97</v>
      </c>
      <c r="F19" s="89">
        <v>2907</v>
      </c>
      <c r="G19" s="90" t="s">
        <v>11</v>
      </c>
      <c r="H19" s="91">
        <v>105</v>
      </c>
      <c r="I19" s="94">
        <v>3170</v>
      </c>
      <c r="J19" s="93" t="s">
        <v>11</v>
      </c>
      <c r="K19" s="91">
        <f>H19+(H19*$M$5)</f>
        <v>108.045</v>
      </c>
      <c r="L19" s="92">
        <f>I19+(I19*$M$5)</f>
        <v>3261.93</v>
      </c>
      <c r="M19" s="93" t="s">
        <v>11</v>
      </c>
      <c r="N19" s="91">
        <v>109</v>
      </c>
      <c r="O19" s="92">
        <f>N19*365/12</f>
        <v>3315.4166666666665</v>
      </c>
      <c r="P19" s="93" t="s">
        <v>11</v>
      </c>
      <c r="Q19" s="211">
        <v>111</v>
      </c>
      <c r="R19" s="211">
        <v>3374</v>
      </c>
      <c r="S19" s="211"/>
      <c r="T19" s="161">
        <f>Q19+(Q19*V5)</f>
        <v>112.9869</v>
      </c>
      <c r="U19" s="161">
        <v>3425</v>
      </c>
      <c r="V19" s="156"/>
      <c r="W19" s="237"/>
      <c r="X19" s="238"/>
    </row>
    <row r="20" spans="1:24" ht="12.75">
      <c r="A20" s="86" t="s">
        <v>97</v>
      </c>
      <c r="B20" s="69"/>
      <c r="C20" s="70"/>
      <c r="D20" s="117" t="s">
        <v>11</v>
      </c>
      <c r="E20" s="88">
        <v>53</v>
      </c>
      <c r="F20" s="89">
        <v>1577</v>
      </c>
      <c r="G20" s="90" t="s">
        <v>11</v>
      </c>
      <c r="H20" s="91">
        <v>55</v>
      </c>
      <c r="I20" s="94">
        <v>1665</v>
      </c>
      <c r="J20" s="93" t="s">
        <v>11</v>
      </c>
      <c r="K20" s="91">
        <f>H20+(H20*$M$5)</f>
        <v>56.595</v>
      </c>
      <c r="L20" s="92">
        <f>I20+(I20*$M$5)</f>
        <v>1713.285</v>
      </c>
      <c r="M20" s="93" t="s">
        <v>11</v>
      </c>
      <c r="N20" s="91">
        <f>K20+(K20*$P$5)</f>
        <v>57.50052</v>
      </c>
      <c r="O20" s="92">
        <f>N20*365/12</f>
        <v>1748.97415</v>
      </c>
      <c r="P20" s="93" t="s">
        <v>11</v>
      </c>
      <c r="Q20" s="211">
        <f>N20+(N20*S5)</f>
        <v>58.53552936</v>
      </c>
      <c r="R20" s="211">
        <f>Q20*365/12</f>
        <v>1780.4556847000001</v>
      </c>
      <c r="S20" s="211"/>
      <c r="T20" s="161">
        <f>Q20+(Q20*V5)</f>
        <v>59.583315335544</v>
      </c>
      <c r="U20" s="161">
        <v>1825</v>
      </c>
      <c r="V20" s="156"/>
      <c r="W20" s="4"/>
      <c r="X20" s="67"/>
    </row>
    <row r="21" spans="1:24" ht="12.75">
      <c r="A21" s="86" t="s">
        <v>98</v>
      </c>
      <c r="B21" s="69"/>
      <c r="C21" s="70"/>
      <c r="D21" s="117" t="s">
        <v>11</v>
      </c>
      <c r="E21" s="88" t="s">
        <v>11</v>
      </c>
      <c r="F21" s="89">
        <v>124</v>
      </c>
      <c r="G21" s="90" t="s">
        <v>11</v>
      </c>
      <c r="H21" s="91" t="s">
        <v>11</v>
      </c>
      <c r="I21" s="92">
        <v>500</v>
      </c>
      <c r="J21" s="93" t="s">
        <v>11</v>
      </c>
      <c r="K21" s="91" t="s">
        <v>11</v>
      </c>
      <c r="L21" s="134">
        <f>I21+(I21*$M$5)</f>
        <v>514.5</v>
      </c>
      <c r="M21" s="92"/>
      <c r="N21" s="91" t="s">
        <v>11</v>
      </c>
      <c r="O21" s="134">
        <f>L21+(L21*$P$5)</f>
        <v>522.732</v>
      </c>
      <c r="P21" s="92"/>
      <c r="Q21" s="212"/>
      <c r="R21" s="212">
        <f>O21+(O21*S5)</f>
        <v>532.141176</v>
      </c>
      <c r="S21" s="212"/>
      <c r="T21" s="161"/>
      <c r="U21" s="161">
        <v>541</v>
      </c>
      <c r="V21" s="156"/>
      <c r="W21" s="241"/>
      <c r="X21" s="242"/>
    </row>
    <row r="22" spans="1:24" ht="12.75">
      <c r="A22" s="86"/>
      <c r="B22" s="69"/>
      <c r="C22" s="70"/>
      <c r="D22" s="117" t="s">
        <v>11</v>
      </c>
      <c r="E22" s="88" t="s">
        <v>11</v>
      </c>
      <c r="F22" s="89" t="s">
        <v>11</v>
      </c>
      <c r="G22" s="90" t="s">
        <v>11</v>
      </c>
      <c r="H22" s="91" t="s">
        <v>11</v>
      </c>
      <c r="I22" s="94" t="s">
        <v>11</v>
      </c>
      <c r="J22" s="93" t="s">
        <v>11</v>
      </c>
      <c r="K22" s="91" t="s">
        <v>11</v>
      </c>
      <c r="L22" s="94" t="s">
        <v>11</v>
      </c>
      <c r="M22" s="93" t="s">
        <v>11</v>
      </c>
      <c r="N22" s="91" t="s">
        <v>11</v>
      </c>
      <c r="O22" s="94" t="s">
        <v>11</v>
      </c>
      <c r="P22" s="93" t="s">
        <v>11</v>
      </c>
      <c r="Q22" s="211"/>
      <c r="R22" s="211"/>
      <c r="S22" s="211"/>
      <c r="T22" s="161"/>
      <c r="U22" s="161"/>
      <c r="V22" s="156"/>
      <c r="W22" s="243"/>
      <c r="X22" s="244"/>
    </row>
    <row r="23" spans="1:24" ht="12.75">
      <c r="A23" s="86" t="s">
        <v>99</v>
      </c>
      <c r="B23" s="69"/>
      <c r="C23" s="70"/>
      <c r="D23" s="117" t="s">
        <v>11</v>
      </c>
      <c r="E23" s="88" t="s">
        <v>11</v>
      </c>
      <c r="F23" s="89" t="s">
        <v>11</v>
      </c>
      <c r="G23" s="90" t="s">
        <v>11</v>
      </c>
      <c r="H23" s="91" t="s">
        <v>11</v>
      </c>
      <c r="I23" s="94" t="s">
        <v>11</v>
      </c>
      <c r="J23" s="93" t="s">
        <v>11</v>
      </c>
      <c r="K23" s="91" t="s">
        <v>11</v>
      </c>
      <c r="L23" s="94" t="s">
        <v>11</v>
      </c>
      <c r="M23" s="93" t="s">
        <v>11</v>
      </c>
      <c r="N23" s="91" t="s">
        <v>11</v>
      </c>
      <c r="O23" s="94" t="s">
        <v>11</v>
      </c>
      <c r="P23" s="93" t="s">
        <v>11</v>
      </c>
      <c r="Q23" s="211"/>
      <c r="R23" s="211"/>
      <c r="S23" s="211"/>
      <c r="T23" s="161"/>
      <c r="U23" s="161"/>
      <c r="V23" s="156"/>
      <c r="W23" s="245"/>
      <c r="X23" s="246"/>
    </row>
    <row r="24" spans="1:24" ht="12.75">
      <c r="A24" s="86" t="s">
        <v>100</v>
      </c>
      <c r="B24" s="69"/>
      <c r="C24" s="70"/>
      <c r="D24" s="117" t="s">
        <v>11</v>
      </c>
      <c r="E24" s="88" t="s">
        <v>11</v>
      </c>
      <c r="F24" s="89">
        <v>78</v>
      </c>
      <c r="G24" s="90" t="s">
        <v>11</v>
      </c>
      <c r="H24" s="91" t="s">
        <v>11</v>
      </c>
      <c r="I24" s="92">
        <f>F24+(F24*$J$5)</f>
        <v>79.482</v>
      </c>
      <c r="J24" s="93" t="s">
        <v>11</v>
      </c>
      <c r="K24" s="91" t="s">
        <v>11</v>
      </c>
      <c r="L24" s="134">
        <f>I24+(I24*$M$5)</f>
        <v>81.786978</v>
      </c>
      <c r="M24" s="93" t="s">
        <v>11</v>
      </c>
      <c r="N24" s="91" t="s">
        <v>11</v>
      </c>
      <c r="O24" s="134">
        <f>L24+(L24*$P$5)</f>
        <v>83.09556964800001</v>
      </c>
      <c r="P24" s="93" t="s">
        <v>11</v>
      </c>
      <c r="Q24" s="211"/>
      <c r="R24" s="211">
        <f>O24+(O24*S5)</f>
        <v>84.59128990166401</v>
      </c>
      <c r="S24" s="211"/>
      <c r="T24" s="161"/>
      <c r="U24" s="161">
        <f>R24+(R24*V5)</f>
        <v>86.1054739909038</v>
      </c>
      <c r="V24" s="156"/>
      <c r="W24" s="4"/>
      <c r="X24" s="67"/>
    </row>
    <row r="25" spans="1:24" ht="12.75">
      <c r="A25" s="86" t="s">
        <v>101</v>
      </c>
      <c r="B25" s="69"/>
      <c r="C25" s="70"/>
      <c r="D25" s="117" t="s">
        <v>11</v>
      </c>
      <c r="E25" s="88" t="s">
        <v>11</v>
      </c>
      <c r="F25" s="89">
        <v>159</v>
      </c>
      <c r="G25" s="90" t="s">
        <v>11</v>
      </c>
      <c r="H25" s="91" t="s">
        <v>11</v>
      </c>
      <c r="I25" s="92">
        <f>F25+(F25*$J$5)</f>
        <v>162.021</v>
      </c>
      <c r="J25" s="93" t="s">
        <v>11</v>
      </c>
      <c r="K25" s="91" t="s">
        <v>11</v>
      </c>
      <c r="L25" s="134">
        <f>I25+(I25*$M$5)</f>
        <v>166.719609</v>
      </c>
      <c r="M25" s="93" t="s">
        <v>11</v>
      </c>
      <c r="N25" s="91" t="s">
        <v>11</v>
      </c>
      <c r="O25" s="134">
        <f>L25+(L25*$P$5)</f>
        <v>169.38712274399998</v>
      </c>
      <c r="P25" s="93" t="s">
        <v>11</v>
      </c>
      <c r="Q25" s="211"/>
      <c r="R25" s="211">
        <f>O25+(O25*S5)</f>
        <v>172.43609095339198</v>
      </c>
      <c r="S25" s="211"/>
      <c r="T25" s="161"/>
      <c r="U25" s="161">
        <f>R25+(R25*V5)</f>
        <v>175.5226969814577</v>
      </c>
      <c r="V25" s="156"/>
      <c r="W25" s="4"/>
      <c r="X25" s="67"/>
    </row>
    <row r="26" spans="1:24" ht="12.75">
      <c r="A26" s="86"/>
      <c r="B26" s="69"/>
      <c r="C26" s="70"/>
      <c r="D26" s="117" t="s">
        <v>11</v>
      </c>
      <c r="E26" s="88" t="s">
        <v>11</v>
      </c>
      <c r="F26" s="89" t="s">
        <v>11</v>
      </c>
      <c r="G26" s="90" t="s">
        <v>11</v>
      </c>
      <c r="H26" s="91" t="s">
        <v>11</v>
      </c>
      <c r="I26" s="94" t="s">
        <v>11</v>
      </c>
      <c r="J26" s="93" t="s">
        <v>11</v>
      </c>
      <c r="K26" s="91" t="s">
        <v>11</v>
      </c>
      <c r="L26" s="94" t="s">
        <v>11</v>
      </c>
      <c r="M26" s="93" t="s">
        <v>11</v>
      </c>
      <c r="N26" s="91" t="s">
        <v>11</v>
      </c>
      <c r="O26" s="94" t="s">
        <v>11</v>
      </c>
      <c r="P26" s="93" t="s">
        <v>11</v>
      </c>
      <c r="Q26" s="211"/>
      <c r="R26" s="211"/>
      <c r="S26" s="211"/>
      <c r="T26" s="161"/>
      <c r="U26" s="161"/>
      <c r="V26" s="156"/>
      <c r="W26" s="4"/>
      <c r="X26" s="67"/>
    </row>
    <row r="27" spans="1:24" ht="12.75">
      <c r="A27" s="86" t="s">
        <v>102</v>
      </c>
      <c r="B27" s="69"/>
      <c r="C27" s="70"/>
      <c r="D27" s="117">
        <v>137</v>
      </c>
      <c r="E27" s="88" t="s">
        <v>11</v>
      </c>
      <c r="F27" s="89" t="s">
        <v>11</v>
      </c>
      <c r="G27" s="90" t="s">
        <v>11</v>
      </c>
      <c r="H27" s="91" t="s">
        <v>11</v>
      </c>
      <c r="I27" s="94" t="s">
        <v>11</v>
      </c>
      <c r="J27" s="93" t="s">
        <v>11</v>
      </c>
      <c r="K27" s="91" t="s">
        <v>11</v>
      </c>
      <c r="L27" s="94" t="s">
        <v>11</v>
      </c>
      <c r="M27" s="93" t="s">
        <v>11</v>
      </c>
      <c r="N27" s="91" t="s">
        <v>11</v>
      </c>
      <c r="O27" s="94" t="s">
        <v>11</v>
      </c>
      <c r="P27" s="93" t="s">
        <v>11</v>
      </c>
      <c r="Q27" s="211"/>
      <c r="R27" s="211"/>
      <c r="S27" s="211"/>
      <c r="T27" s="161"/>
      <c r="U27" s="161"/>
      <c r="V27" s="156"/>
      <c r="W27" s="4"/>
      <c r="X27" s="67"/>
    </row>
    <row r="28" spans="1:24" ht="13.5" thickBot="1">
      <c r="A28" s="118" t="s">
        <v>103</v>
      </c>
      <c r="B28" s="96"/>
      <c r="C28" s="97"/>
      <c r="D28" s="119" t="s">
        <v>11</v>
      </c>
      <c r="E28" s="99" t="s">
        <v>11</v>
      </c>
      <c r="F28" s="100"/>
      <c r="G28" s="101">
        <v>64</v>
      </c>
      <c r="H28" s="102" t="s">
        <v>11</v>
      </c>
      <c r="I28" s="120"/>
      <c r="J28" s="104">
        <f>G28+(G28*$J$5)</f>
        <v>65.216</v>
      </c>
      <c r="K28" s="102" t="s">
        <v>11</v>
      </c>
      <c r="L28" s="120"/>
      <c r="M28" s="135">
        <f>J28+(J28*$M$5)</f>
        <v>67.107264</v>
      </c>
      <c r="N28" s="102" t="s">
        <v>11</v>
      </c>
      <c r="O28" s="120"/>
      <c r="P28" s="104">
        <f>M28+(M28*$P$5)</f>
        <v>68.180980224</v>
      </c>
      <c r="Q28" s="216"/>
      <c r="R28" s="216"/>
      <c r="S28" s="216">
        <f>P28+(P28*$S$5)</f>
        <v>69.40823786803199</v>
      </c>
      <c r="T28" s="162"/>
      <c r="U28" s="162"/>
      <c r="V28" s="156"/>
      <c r="W28" s="6" t="s">
        <v>123</v>
      </c>
      <c r="X28" s="67"/>
    </row>
    <row r="29" spans="1:24" ht="12.75">
      <c r="A29" s="121" t="s">
        <v>104</v>
      </c>
      <c r="B29" s="69"/>
      <c r="C29" s="69"/>
      <c r="D29" s="87" t="s">
        <v>11</v>
      </c>
      <c r="E29" s="87" t="s">
        <v>11</v>
      </c>
      <c r="F29" s="106" t="s">
        <v>11</v>
      </c>
      <c r="G29" s="87" t="s">
        <v>11</v>
      </c>
      <c r="H29" s="107"/>
      <c r="I29" s="107"/>
      <c r="J29" s="107"/>
      <c r="K29" s="107"/>
      <c r="L29" s="107"/>
      <c r="M29" s="107"/>
      <c r="N29" s="107"/>
      <c r="O29" s="107"/>
      <c r="P29" s="107"/>
      <c r="Q29" s="215"/>
      <c r="R29" s="215"/>
      <c r="S29" s="215"/>
      <c r="T29" s="208"/>
      <c r="U29" s="160"/>
      <c r="V29" s="156"/>
      <c r="W29" s="4"/>
      <c r="X29" s="67"/>
    </row>
    <row r="30" spans="1:24" ht="13.5" thickBot="1">
      <c r="A30" s="240" t="s">
        <v>128</v>
      </c>
      <c r="B30" s="240"/>
      <c r="C30" s="240"/>
      <c r="D30" s="240"/>
      <c r="E30" s="240"/>
      <c r="F30" s="240"/>
      <c r="G30" s="240"/>
      <c r="H30" s="107"/>
      <c r="I30" s="107"/>
      <c r="J30" s="107"/>
      <c r="K30" s="107"/>
      <c r="L30" s="107"/>
      <c r="M30" s="107"/>
      <c r="N30" s="107"/>
      <c r="O30" s="107"/>
      <c r="P30" s="107"/>
      <c r="Q30" s="214"/>
      <c r="R30" s="214"/>
      <c r="S30" s="214"/>
      <c r="T30" s="210"/>
      <c r="U30" s="162"/>
      <c r="V30" s="156"/>
      <c r="W30" s="4"/>
      <c r="X30" s="67"/>
    </row>
    <row r="31" spans="1:24" ht="12.75">
      <c r="A31" s="109"/>
      <c r="B31" s="78"/>
      <c r="C31" s="122"/>
      <c r="D31" s="110" t="s">
        <v>11</v>
      </c>
      <c r="E31" s="111" t="s">
        <v>11</v>
      </c>
      <c r="F31" s="112" t="s">
        <v>11</v>
      </c>
      <c r="G31" s="113" t="s">
        <v>11</v>
      </c>
      <c r="H31" s="116" t="s">
        <v>11</v>
      </c>
      <c r="I31" s="123" t="s">
        <v>11</v>
      </c>
      <c r="J31" s="116" t="s">
        <v>11</v>
      </c>
      <c r="K31" s="116" t="s">
        <v>11</v>
      </c>
      <c r="L31" s="123" t="s">
        <v>11</v>
      </c>
      <c r="M31" s="116" t="s">
        <v>11</v>
      </c>
      <c r="N31" s="116" t="s">
        <v>11</v>
      </c>
      <c r="O31" s="123" t="s">
        <v>11</v>
      </c>
      <c r="P31" s="116" t="s">
        <v>11</v>
      </c>
      <c r="Q31" s="213"/>
      <c r="R31" s="213"/>
      <c r="S31" s="213"/>
      <c r="T31" s="208"/>
      <c r="U31" s="160"/>
      <c r="V31" s="156"/>
      <c r="W31" s="235" t="s">
        <v>131</v>
      </c>
      <c r="X31" s="236"/>
    </row>
    <row r="32" spans="1:24" ht="12.75">
      <c r="A32" s="86" t="s">
        <v>132</v>
      </c>
      <c r="B32" s="69"/>
      <c r="C32" s="124"/>
      <c r="D32" s="117" t="s">
        <v>11</v>
      </c>
      <c r="E32" s="88">
        <v>102</v>
      </c>
      <c r="F32" s="89">
        <v>3062</v>
      </c>
      <c r="G32" s="90" t="s">
        <v>11</v>
      </c>
      <c r="H32" s="93">
        <v>105</v>
      </c>
      <c r="I32" s="125">
        <v>3170</v>
      </c>
      <c r="J32" s="93" t="s">
        <v>11</v>
      </c>
      <c r="K32" s="91">
        <f>H32+(H32*$M$5)</f>
        <v>108.045</v>
      </c>
      <c r="L32" s="92">
        <f>I32+(I32*$M$5)</f>
        <v>3261.93</v>
      </c>
      <c r="M32" s="93" t="s">
        <v>11</v>
      </c>
      <c r="N32" s="91">
        <v>109</v>
      </c>
      <c r="O32" s="92">
        <f>N32*365/12</f>
        <v>3315.4166666666665</v>
      </c>
      <c r="P32" s="93" t="s">
        <v>11</v>
      </c>
      <c r="Q32" s="211">
        <v>111</v>
      </c>
      <c r="R32" s="211">
        <v>3367</v>
      </c>
      <c r="S32" s="211"/>
      <c r="T32" s="159">
        <f>Q32+(Q32*V5)</f>
        <v>112.9869</v>
      </c>
      <c r="U32" s="161">
        <v>3425</v>
      </c>
      <c r="V32" s="156"/>
      <c r="W32" s="237"/>
      <c r="X32" s="238"/>
    </row>
    <row r="33" spans="1:24" ht="12.75">
      <c r="A33" s="86" t="s">
        <v>97</v>
      </c>
      <c r="B33" s="69"/>
      <c r="C33" s="124"/>
      <c r="D33" s="117" t="s">
        <v>11</v>
      </c>
      <c r="E33" s="88">
        <v>54</v>
      </c>
      <c r="F33" s="89">
        <v>1608</v>
      </c>
      <c r="G33" s="90" t="s">
        <v>11</v>
      </c>
      <c r="H33" s="93">
        <v>55</v>
      </c>
      <c r="I33" s="125">
        <v>1665</v>
      </c>
      <c r="J33" s="93" t="s">
        <v>11</v>
      </c>
      <c r="K33" s="91">
        <f>H33+(H33*$M$5)</f>
        <v>56.595</v>
      </c>
      <c r="L33" s="92">
        <f>I33+(I33*$M$5)</f>
        <v>1713.285</v>
      </c>
      <c r="M33" s="93" t="s">
        <v>11</v>
      </c>
      <c r="N33" s="91">
        <f>K33+(K33*$P$5)</f>
        <v>57.50052</v>
      </c>
      <c r="O33" s="92">
        <f>N33*365/12</f>
        <v>1748.97415</v>
      </c>
      <c r="P33" s="93" t="s">
        <v>11</v>
      </c>
      <c r="Q33" s="211">
        <f>Q20</f>
        <v>58.53552936</v>
      </c>
      <c r="R33" s="211">
        <f>Q33*365/12</f>
        <v>1780.4556847000001</v>
      </c>
      <c r="S33" s="211"/>
      <c r="T33" s="159">
        <f>Q33+(Q33*V5)</f>
        <v>59.583315335544</v>
      </c>
      <c r="U33" s="161">
        <v>1825</v>
      </c>
      <c r="V33" s="156"/>
      <c r="W33" s="4"/>
      <c r="X33" s="67"/>
    </row>
    <row r="34" spans="1:24" ht="13.5" thickBot="1">
      <c r="A34" s="118" t="s">
        <v>11</v>
      </c>
      <c r="B34" s="96"/>
      <c r="C34" s="126"/>
      <c r="D34" s="119" t="s">
        <v>11</v>
      </c>
      <c r="E34" s="99" t="s">
        <v>11</v>
      </c>
      <c r="F34" s="100" t="s">
        <v>11</v>
      </c>
      <c r="G34" s="101" t="s">
        <v>11</v>
      </c>
      <c r="H34" s="104" t="s">
        <v>11</v>
      </c>
      <c r="I34" s="127" t="s">
        <v>11</v>
      </c>
      <c r="J34" s="104" t="s">
        <v>11</v>
      </c>
      <c r="K34" s="104" t="s">
        <v>11</v>
      </c>
      <c r="L34" s="127" t="s">
        <v>11</v>
      </c>
      <c r="M34" s="104" t="s">
        <v>11</v>
      </c>
      <c r="N34" s="104" t="s">
        <v>11</v>
      </c>
      <c r="O34" s="127" t="s">
        <v>11</v>
      </c>
      <c r="P34" s="104" t="s">
        <v>11</v>
      </c>
      <c r="Q34" s="216"/>
      <c r="R34" s="216"/>
      <c r="S34" s="216"/>
      <c r="T34" s="210"/>
      <c r="U34" s="162"/>
      <c r="V34" s="163"/>
      <c r="W34" s="146"/>
      <c r="X34" s="128"/>
    </row>
    <row r="35" spans="1:19" ht="12.75">
      <c r="A35" s="129" t="s">
        <v>105</v>
      </c>
      <c r="B35" s="129"/>
      <c r="C35" s="129"/>
      <c r="D35" s="129"/>
      <c r="E35" s="129"/>
      <c r="F35" s="129"/>
      <c r="G35" s="129"/>
      <c r="H35" s="130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</row>
    <row r="36" spans="1:19" ht="12.75">
      <c r="A36" s="131" t="s">
        <v>106</v>
      </c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  <row r="38" ht="12.75">
      <c r="A38" s="139" t="s">
        <v>124</v>
      </c>
    </row>
  </sheetData>
  <sheetProtection/>
  <mergeCells count="15">
    <mergeCell ref="T2:V2"/>
    <mergeCell ref="T5:U5"/>
    <mergeCell ref="A30:G30"/>
    <mergeCell ref="Q2:S2"/>
    <mergeCell ref="W7:X11"/>
    <mergeCell ref="A1:U1"/>
    <mergeCell ref="D2:G2"/>
    <mergeCell ref="H2:J2"/>
    <mergeCell ref="K2:M2"/>
    <mergeCell ref="W2:X2"/>
    <mergeCell ref="W31:X32"/>
    <mergeCell ref="N2:P2"/>
    <mergeCell ref="A17:G17"/>
    <mergeCell ref="W18:X19"/>
    <mergeCell ref="W21:X23"/>
  </mergeCells>
  <printOptions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USS-04-11-2014 - Bilag 120.01 Takster 2015 Special og ældreområdet</dc:title>
  <dc:subject>ØVRIGE</dc:subject>
  <dc:creator>SOPO</dc:creator>
  <cp:keywords/>
  <dc:description/>
  <cp:lastModifiedBy>Søren Poulsen</cp:lastModifiedBy>
  <cp:lastPrinted>2014-10-29T12:39:23Z</cp:lastPrinted>
  <dcterms:created xsi:type="dcterms:W3CDTF">1996-11-12T13:28:11Z</dcterms:created>
  <dcterms:modified xsi:type="dcterms:W3CDTF">2014-11-03T09:27:54Z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04-11-2014</vt:lpwstr>
  </property>
  <property fmtid="{D5CDD505-2E9C-101B-9397-08002B2CF9AE}" pid="5" name="MeetingDateAndTi">
    <vt:lpwstr>04-11-2014 fra 08:00 - 12:00</vt:lpwstr>
  </property>
  <property fmtid="{D5CDD505-2E9C-101B-9397-08002B2CF9AE}" pid="6" name="AccessLevelNa">
    <vt:lpwstr>Åben</vt:lpwstr>
  </property>
  <property fmtid="{D5CDD505-2E9C-101B-9397-08002B2CF9AE}" pid="7" name="Fusion">
    <vt:lpwstr>1699417</vt:lpwstr>
  </property>
  <property fmtid="{D5CDD505-2E9C-101B-9397-08002B2CF9AE}" pid="8" name="SortOrd">
    <vt:lpwstr>1</vt:lpwstr>
  </property>
  <property fmtid="{D5CDD505-2E9C-101B-9397-08002B2CF9AE}" pid="9" name="MeetingEndDa">
    <vt:lpwstr>2014-11-04T12:00:00Z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135673/14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2014-11-04T08:00:00Z</vt:lpwstr>
  </property>
  <property fmtid="{D5CDD505-2E9C-101B-9397-08002B2CF9AE}" pid="14" name="PWDescripti">
    <vt:lpwstr/>
  </property>
  <property fmtid="{D5CDD505-2E9C-101B-9397-08002B2CF9AE}" pid="15" name="U">
    <vt:lpwstr>1523869</vt:lpwstr>
  </property>
  <property fmtid="{D5CDD505-2E9C-101B-9397-08002B2CF9AE}" pid="16" name="PWFileTy">
    <vt:lpwstr>.XLS</vt:lpwstr>
  </property>
  <property fmtid="{D5CDD505-2E9C-101B-9397-08002B2CF9AE}" pid="17" name="Agenda">
    <vt:lpwstr>3195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